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75" yWindow="135" windowWidth="19095" windowHeight="7800" firstSheet="2" activeTab="3"/>
  </bookViews>
  <sheets>
    <sheet name="lead  charge" sheetId="4" state="hidden" r:id="rId1"/>
    <sheet name="Data" sheetId="5" state="hidden" r:id="rId2"/>
    <sheet name="Details" sheetId="6" r:id="rId3"/>
    <sheet name="Abs" sheetId="7" r:id="rId4"/>
    <sheet name="Sheet2" sheetId="12" r:id="rId5"/>
  </sheets>
  <externalReferences>
    <externalReference r:id="rId6"/>
    <externalReference r:id="rId7"/>
    <externalReference r:id="rId8"/>
  </externalReferences>
  <definedNames>
    <definedName name="ahfk" localSheetId="3">#REF!</definedName>
    <definedName name="ahfk">#REF!</definedName>
    <definedName name="electri" localSheetId="3">#REF!</definedName>
    <definedName name="electri">#REF!</definedName>
    <definedName name="fhd" localSheetId="3">#REF!</definedName>
    <definedName name="fhd">#REF!</definedName>
    <definedName name="hia" localSheetId="3">#REF!</definedName>
    <definedName name="hia">#REF!</definedName>
    <definedName name="ins" localSheetId="3">#REF!</definedName>
    <definedName name="ins">#REF!</definedName>
    <definedName name="k404." localSheetId="3">#REF!</definedName>
    <definedName name="k404.">#REF!</definedName>
    <definedName name="pc" localSheetId="3">#REF!</definedName>
    <definedName name="pc">#REF!</definedName>
    <definedName name="print" localSheetId="3">#REF!</definedName>
    <definedName name="print">#REF!</definedName>
    <definedName name="_xlnm.Print_Area" localSheetId="3">Abs!$A$1:$F$54</definedName>
    <definedName name="_xlnm.Print_Area" localSheetId="1">Data!$T$1:$AG$53</definedName>
    <definedName name="_xlnm.Print_Area" localSheetId="2">Details!$A$1:$I$307</definedName>
    <definedName name="_xlnm.Print_Area" localSheetId="0">'lead  charge'!$A$1:$S$63</definedName>
    <definedName name="_xlnm.Print_Area" localSheetId="4">Sheet2!$A$1:$F$449</definedName>
    <definedName name="_xlnm.Print_Area">#REF!</definedName>
    <definedName name="PRINT_AREA_MI" localSheetId="3">#REF!</definedName>
    <definedName name="Print_Area_MI" localSheetId="1">Data!$F$1:$K$214</definedName>
    <definedName name="PRINT_AREA_MI">#REF!</definedName>
    <definedName name="_xlnm.Print_Titles" localSheetId="3">Abs!$3:$3</definedName>
    <definedName name="_xlnm.Print_Titles">#REF!</definedName>
    <definedName name="PRINT_TITLES_MI" localSheetId="3">#REF!</definedName>
    <definedName name="PRINT_TITLES_MI" localSheetId="1">Data!$GL$7:$II$7592</definedName>
    <definedName name="PRINT_TITLES_MI">#REF!</definedName>
    <definedName name="QQE" localSheetId="3">#REF!</definedName>
    <definedName name="QQE">#REF!</definedName>
    <definedName name="QWE" localSheetId="3">#REF!</definedName>
    <definedName name="QWE">#REF!</definedName>
  </definedNames>
  <calcPr calcId="124519"/>
</workbook>
</file>

<file path=xl/calcChain.xml><?xml version="1.0" encoding="utf-8"?>
<calcChain xmlns="http://schemas.openxmlformats.org/spreadsheetml/2006/main">
  <c r="F47" i="7"/>
  <c r="D47"/>
  <c r="I47"/>
  <c r="H47"/>
  <c r="B47"/>
  <c r="H305" i="6"/>
  <c r="H304"/>
  <c r="H306" s="1"/>
  <c r="H299"/>
  <c r="H300"/>
  <c r="H301"/>
  <c r="D46" i="7" l="1"/>
  <c r="B46"/>
  <c r="F46" s="1"/>
  <c r="D45"/>
  <c r="B45"/>
  <c r="H295" i="6"/>
  <c r="H294"/>
  <c r="H296" s="1"/>
  <c r="H290"/>
  <c r="H289"/>
  <c r="H291" s="1"/>
  <c r="D44" i="7"/>
  <c r="D43"/>
  <c r="B44"/>
  <c r="C44"/>
  <c r="F419" i="12"/>
  <c r="F420" s="1"/>
  <c r="D42" i="7" s="1"/>
  <c r="F408" i="12"/>
  <c r="F409" s="1"/>
  <c r="D41" i="7" s="1"/>
  <c r="D40"/>
  <c r="D39"/>
  <c r="D38"/>
  <c r="D37"/>
  <c r="D34"/>
  <c r="D32"/>
  <c r="D31"/>
  <c r="D30"/>
  <c r="D29"/>
  <c r="D28"/>
  <c r="F249" i="12"/>
  <c r="F248"/>
  <c r="F247"/>
  <c r="I246"/>
  <c r="J246" s="1"/>
  <c r="D246" s="1"/>
  <c r="F246" s="1"/>
  <c r="I245"/>
  <c r="J245" s="1"/>
  <c r="D245" s="1"/>
  <c r="F245" s="1"/>
  <c r="F244"/>
  <c r="F243"/>
  <c r="F251" s="1"/>
  <c r="F252" s="1"/>
  <c r="D27" i="7" s="1"/>
  <c r="F45" l="1"/>
  <c r="F44"/>
  <c r="D26"/>
  <c r="D25"/>
  <c r="D24"/>
  <c r="D23"/>
  <c r="H93" i="6"/>
  <c r="B23" i="7" s="1"/>
  <c r="D22"/>
  <c r="D21"/>
  <c r="D20"/>
  <c r="D19"/>
  <c r="D18"/>
  <c r="D17"/>
  <c r="D16"/>
  <c r="D15"/>
  <c r="D14"/>
  <c r="D13"/>
  <c r="D12"/>
  <c r="D11"/>
  <c r="H10"/>
  <c r="I10" s="1"/>
  <c r="D10" s="1"/>
  <c r="H8"/>
  <c r="D8" s="1"/>
  <c r="H7"/>
  <c r="D7" s="1"/>
  <c r="F57" i="12"/>
  <c r="I56"/>
  <c r="J56" s="1"/>
  <c r="D56" s="1"/>
  <c r="F56" s="1"/>
  <c r="I55"/>
  <c r="J55" s="1"/>
  <c r="D55" s="1"/>
  <c r="F55" s="1"/>
  <c r="F54"/>
  <c r="F58" s="1"/>
  <c r="F59" s="1"/>
  <c r="D6" i="7" s="1"/>
  <c r="D46" i="12"/>
  <c r="F50"/>
  <c r="D49"/>
  <c r="F49" s="1"/>
  <c r="D48"/>
  <c r="F48" s="1"/>
  <c r="F47"/>
  <c r="F46"/>
  <c r="F45"/>
  <c r="F44"/>
  <c r="I43"/>
  <c r="J43" s="1"/>
  <c r="D43" s="1"/>
  <c r="F43" s="1"/>
  <c r="F51" s="1"/>
  <c r="F52" s="1"/>
  <c r="D5" i="7" s="1"/>
  <c r="H4"/>
  <c r="I4" s="1"/>
  <c r="D4" s="1"/>
  <c r="B43"/>
  <c r="F43" s="1"/>
  <c r="B42"/>
  <c r="F42" s="1"/>
  <c r="B41"/>
  <c r="F41" s="1"/>
  <c r="B32"/>
  <c r="F32" s="1"/>
  <c r="B31"/>
  <c r="F31" s="1"/>
  <c r="B30"/>
  <c r="F30" s="1"/>
  <c r="B19"/>
  <c r="F19" s="1"/>
  <c r="B18"/>
  <c r="F18" s="1"/>
  <c r="B17"/>
  <c r="F17" s="1"/>
  <c r="B16"/>
  <c r="F16" s="1"/>
  <c r="B15"/>
  <c r="F15" s="1"/>
  <c r="B14"/>
  <c r="F14" s="1"/>
  <c r="B13"/>
  <c r="F13" s="1"/>
  <c r="B10"/>
  <c r="B5"/>
  <c r="B4"/>
  <c r="H285" i="6"/>
  <c r="H284"/>
  <c r="H283"/>
  <c r="J273"/>
  <c r="H273" s="1"/>
  <c r="H261"/>
  <c r="H262"/>
  <c r="H263"/>
  <c r="H264"/>
  <c r="H265"/>
  <c r="H266"/>
  <c r="H267"/>
  <c r="H268"/>
  <c r="H269"/>
  <c r="H270"/>
  <c r="H271"/>
  <c r="H272"/>
  <c r="H274"/>
  <c r="H275"/>
  <c r="H276"/>
  <c r="H277"/>
  <c r="H278"/>
  <c r="H279"/>
  <c r="H280"/>
  <c r="H281"/>
  <c r="H282"/>
  <c r="H236"/>
  <c r="H237"/>
  <c r="H238"/>
  <c r="H239"/>
  <c r="H240"/>
  <c r="H241"/>
  <c r="H242"/>
  <c r="H243"/>
  <c r="H244"/>
  <c r="H245"/>
  <c r="H246"/>
  <c r="H247"/>
  <c r="H248"/>
  <c r="H249"/>
  <c r="H250"/>
  <c r="H251"/>
  <c r="H252"/>
  <c r="H253"/>
  <c r="H254"/>
  <c r="H255"/>
  <c r="J230"/>
  <c r="H230" s="1"/>
  <c r="H164"/>
  <c r="H165"/>
  <c r="H166"/>
  <c r="H167"/>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1"/>
  <c r="M181"/>
  <c r="J163"/>
  <c r="H168" s="1"/>
  <c r="H162"/>
  <c r="H158"/>
  <c r="H157"/>
  <c r="H159" s="1"/>
  <c r="B40" i="7" s="1"/>
  <c r="F40" s="1"/>
  <c r="H154" i="6"/>
  <c r="H153"/>
  <c r="H155" s="1"/>
  <c r="B39" i="7" s="1"/>
  <c r="F39" s="1"/>
  <c r="H150" i="6"/>
  <c r="H149"/>
  <c r="H151" s="1"/>
  <c r="B38" i="7" s="1"/>
  <c r="F38" s="1"/>
  <c r="H146" i="6"/>
  <c r="B37" i="7" s="1"/>
  <c r="F37" s="1"/>
  <c r="H133" i="6"/>
  <c r="B33" i="7" s="1"/>
  <c r="F33" s="1"/>
  <c r="H120" i="6"/>
  <c r="H119"/>
  <c r="H118"/>
  <c r="H117"/>
  <c r="H121" s="1"/>
  <c r="H108"/>
  <c r="B29" i="7" s="1"/>
  <c r="F29" s="1"/>
  <c r="F4" l="1"/>
  <c r="F10"/>
  <c r="F23"/>
  <c r="F5"/>
  <c r="H163" i="6"/>
  <c r="H232" s="1"/>
  <c r="H105" l="1"/>
  <c r="B28" i="7" s="1"/>
  <c r="F28" s="1"/>
  <c r="H103" i="6"/>
  <c r="B27" i="7" s="1"/>
  <c r="F27" s="1"/>
  <c r="H100" i="6" l="1"/>
  <c r="B26" i="7" s="1"/>
  <c r="F26" s="1"/>
  <c r="H98" i="6"/>
  <c r="B25" i="7" s="1"/>
  <c r="F25" s="1"/>
  <c r="H95" i="6"/>
  <c r="H90"/>
  <c r="B22" i="7" s="1"/>
  <c r="F22" s="1"/>
  <c r="H79" i="6"/>
  <c r="H78"/>
  <c r="H65"/>
  <c r="H72"/>
  <c r="H71"/>
  <c r="H64"/>
  <c r="H45"/>
  <c r="H44"/>
  <c r="H43"/>
  <c r="H46" s="1"/>
  <c r="H59"/>
  <c r="H50"/>
  <c r="H49"/>
  <c r="H51" s="1"/>
  <c r="H30"/>
  <c r="H38"/>
  <c r="H39" s="1"/>
  <c r="E40" s="1"/>
  <c r="H40" s="1"/>
  <c r="H41" s="1"/>
  <c r="B12" i="7" s="1"/>
  <c r="F12" s="1"/>
  <c r="H35" i="6"/>
  <c r="B11" i="7" s="1"/>
  <c r="F11" s="1"/>
  <c r="H25" i="6"/>
  <c r="H24"/>
  <c r="H26" s="1"/>
  <c r="B9" i="7" s="1"/>
  <c r="F9" s="1"/>
  <c r="L12" i="6" l="1"/>
  <c r="H29"/>
  <c r="H31" s="1"/>
  <c r="H21"/>
  <c r="B8" i="7" s="1"/>
  <c r="F8" s="1"/>
  <c r="H18" i="6"/>
  <c r="B7" i="7" s="1"/>
  <c r="F7" s="1"/>
  <c r="H15" i="6"/>
  <c r="H14"/>
  <c r="H16" s="1"/>
  <c r="B6" i="7" s="1"/>
  <c r="F6" s="1"/>
  <c r="F48" s="1"/>
  <c r="H10" i="6"/>
  <c r="H9"/>
  <c r="N12" s="1"/>
  <c r="L6"/>
  <c r="H11" l="1"/>
  <c r="H54"/>
  <c r="H77" l="1"/>
  <c r="H76"/>
  <c r="H80" s="1"/>
  <c r="H55"/>
  <c r="H56" s="1"/>
  <c r="H111" l="1"/>
  <c r="H112"/>
  <c r="H113"/>
  <c r="H110"/>
  <c r="H114" l="1"/>
  <c r="H96"/>
  <c r="B24" i="7" s="1"/>
  <c r="F24" s="1"/>
  <c r="H63" i="6" l="1"/>
  <c r="H70"/>
  <c r="H73" s="1"/>
  <c r="H62"/>
  <c r="H66" s="1"/>
  <c r="H129" l="1"/>
  <c r="H126"/>
  <c r="H127"/>
  <c r="H125"/>
  <c r="H260" l="1"/>
  <c r="H286" s="1"/>
  <c r="H87" l="1"/>
  <c r="B21" i="7" s="1"/>
  <c r="F21" s="1"/>
  <c r="H84" i="6"/>
  <c r="H83"/>
  <c r="H139"/>
  <c r="H138"/>
  <c r="H135"/>
  <c r="H136" l="1"/>
  <c r="B34" i="7" s="1"/>
  <c r="F34" s="1"/>
  <c r="H85" i="6"/>
  <c r="B20" i="7" s="1"/>
  <c r="F20" s="1"/>
  <c r="H140" i="6"/>
  <c r="B35" i="7" s="1"/>
  <c r="F35" s="1"/>
  <c r="H142" i="6"/>
  <c r="H235" l="1"/>
  <c r="F49" i="7" l="1"/>
  <c r="F51"/>
  <c r="H256" i="6"/>
  <c r="H128"/>
  <c r="H124"/>
  <c r="H130" s="1"/>
  <c r="H6"/>
  <c r="A1" i="7" l="1"/>
  <c r="L4076" i="5" l="1"/>
  <c r="I4069"/>
  <c r="K4069" s="1"/>
  <c r="I4067"/>
  <c r="J4060"/>
  <c r="J4061" s="1"/>
  <c r="F4067" s="1"/>
  <c r="K4067" s="1"/>
  <c r="K4058"/>
  <c r="J4058"/>
  <c r="F4066" s="1"/>
  <c r="J4055"/>
  <c r="F4065" s="1"/>
  <c r="J4050"/>
  <c r="J4049"/>
  <c r="J4052" s="1"/>
  <c r="F4064" s="1"/>
  <c r="I4026"/>
  <c r="I4038" s="1"/>
  <c r="K4038" s="1"/>
  <c r="K4011"/>
  <c r="I4009"/>
  <c r="I4024" s="1"/>
  <c r="K3993"/>
  <c r="I3964"/>
  <c r="I3981" s="1"/>
  <c r="I3962"/>
  <c r="K3962" s="1"/>
  <c r="H3962"/>
  <c r="H3958"/>
  <c r="K3948"/>
  <c r="K3946"/>
  <c r="I3943"/>
  <c r="I3959" s="1"/>
  <c r="I3942"/>
  <c r="K3942" s="1"/>
  <c r="K3941"/>
  <c r="I3941"/>
  <c r="I3957" s="1"/>
  <c r="I3940"/>
  <c r="I3956" s="1"/>
  <c r="K3928"/>
  <c r="K3925"/>
  <c r="K3924"/>
  <c r="K3923"/>
  <c r="K3922"/>
  <c r="E3897"/>
  <c r="G3897" s="1"/>
  <c r="G3899" s="1"/>
  <c r="G3900" s="1"/>
  <c r="G3896"/>
  <c r="H3892"/>
  <c r="J3892" s="1"/>
  <c r="H3891"/>
  <c r="J3891" s="1"/>
  <c r="H3890"/>
  <c r="J3890" s="1"/>
  <c r="H3889"/>
  <c r="J3889" s="1"/>
  <c r="H3885"/>
  <c r="H3866"/>
  <c r="H3865"/>
  <c r="H3864"/>
  <c r="H3863"/>
  <c r="I3861"/>
  <c r="H3855"/>
  <c r="H3876" s="1"/>
  <c r="H3845"/>
  <c r="H3844"/>
  <c r="H3843"/>
  <c r="H3842"/>
  <c r="H3848" s="1"/>
  <c r="J3848" s="1"/>
  <c r="I3840"/>
  <c r="K3821"/>
  <c r="K3805"/>
  <c r="K3789"/>
  <c r="K3788"/>
  <c r="K3787"/>
  <c r="K3786"/>
  <c r="K3785"/>
  <c r="K3784"/>
  <c r="K3783"/>
  <c r="K3782"/>
  <c r="K3766"/>
  <c r="K3765"/>
  <c r="K3763"/>
  <c r="K3764" s="1"/>
  <c r="I3761"/>
  <c r="K3761" s="1"/>
  <c r="K3762" s="1"/>
  <c r="K3750"/>
  <c r="I3745"/>
  <c r="K3745" s="1"/>
  <c r="K3734"/>
  <c r="V3720"/>
  <c r="X3720" s="1"/>
  <c r="V3719"/>
  <c r="X3719" s="1"/>
  <c r="V3718"/>
  <c r="X3718" s="1"/>
  <c r="V3717"/>
  <c r="X3717" s="1"/>
  <c r="J3717"/>
  <c r="V3716"/>
  <c r="J3716"/>
  <c r="K3715"/>
  <c r="J3715"/>
  <c r="K3714"/>
  <c r="J3714"/>
  <c r="K3713"/>
  <c r="J3713"/>
  <c r="N3709"/>
  <c r="X3706"/>
  <c r="X3705"/>
  <c r="X3704"/>
  <c r="X3703"/>
  <c r="K3703"/>
  <c r="V3694"/>
  <c r="X3694" s="1"/>
  <c r="V3693"/>
  <c r="X3693" s="1"/>
  <c r="H3693"/>
  <c r="V3692"/>
  <c r="X3692" s="1"/>
  <c r="I3692"/>
  <c r="K3692" s="1"/>
  <c r="H3692"/>
  <c r="F3692"/>
  <c r="V3691"/>
  <c r="X3691" s="1"/>
  <c r="I3691"/>
  <c r="H3691"/>
  <c r="F3691"/>
  <c r="X3690"/>
  <c r="V3690"/>
  <c r="H3689"/>
  <c r="V3688"/>
  <c r="X3688" s="1"/>
  <c r="H3688"/>
  <c r="V3687"/>
  <c r="X3687" s="1"/>
  <c r="H3687"/>
  <c r="X3686"/>
  <c r="V3686"/>
  <c r="H3686"/>
  <c r="V3685"/>
  <c r="X3685" s="1"/>
  <c r="H3685"/>
  <c r="F3685"/>
  <c r="K3685" s="1"/>
  <c r="V3684"/>
  <c r="X3684" s="1"/>
  <c r="F3683"/>
  <c r="K3683" s="1"/>
  <c r="H3682"/>
  <c r="H3681"/>
  <c r="F3681"/>
  <c r="K3671"/>
  <c r="K3670"/>
  <c r="X3664"/>
  <c r="K3664"/>
  <c r="X3663"/>
  <c r="X3662"/>
  <c r="K3662"/>
  <c r="X3661"/>
  <c r="X3660"/>
  <c r="X3658"/>
  <c r="X3657"/>
  <c r="X3656"/>
  <c r="X3655"/>
  <c r="X3644"/>
  <c r="X3643"/>
  <c r="X3642"/>
  <c r="X3641"/>
  <c r="X3640"/>
  <c r="X3639"/>
  <c r="L3639"/>
  <c r="K3639"/>
  <c r="X3638"/>
  <c r="X3637"/>
  <c r="V3636"/>
  <c r="X3636" s="1"/>
  <c r="V3635"/>
  <c r="X3635" s="1"/>
  <c r="X3634"/>
  <c r="V3634"/>
  <c r="K3628"/>
  <c r="I3628"/>
  <c r="I3627"/>
  <c r="K3627" s="1"/>
  <c r="I3626"/>
  <c r="K3626" s="1"/>
  <c r="I3625"/>
  <c r="K3625" s="1"/>
  <c r="H3624"/>
  <c r="I3623"/>
  <c r="K3623" s="1"/>
  <c r="V3618"/>
  <c r="X3619" s="1"/>
  <c r="J3617"/>
  <c r="W3616"/>
  <c r="S3617" s="1"/>
  <c r="S3618" s="1"/>
  <c r="X3611"/>
  <c r="K3607"/>
  <c r="K3606"/>
  <c r="K3605"/>
  <c r="K3604"/>
  <c r="S3603"/>
  <c r="K3603"/>
  <c r="S3602"/>
  <c r="I3602"/>
  <c r="I3624" s="1"/>
  <c r="K3624" s="1"/>
  <c r="V3601"/>
  <c r="K3601"/>
  <c r="X3594"/>
  <c r="V3584"/>
  <c r="S3585" s="1"/>
  <c r="S3586" s="1"/>
  <c r="I3574"/>
  <c r="I3584" s="1"/>
  <c r="K3584" s="1"/>
  <c r="I3573"/>
  <c r="I3583" s="1"/>
  <c r="K3583" s="1"/>
  <c r="S3570"/>
  <c r="V3569"/>
  <c r="S3571" s="1"/>
  <c r="K3562"/>
  <c r="I3560"/>
  <c r="K3560" s="1"/>
  <c r="K3557"/>
  <c r="V3555"/>
  <c r="V3571" s="1"/>
  <c r="S3554"/>
  <c r="V3553"/>
  <c r="S3555" s="1"/>
  <c r="P3542"/>
  <c r="P3541"/>
  <c r="M3542" s="1"/>
  <c r="R3542" s="1"/>
  <c r="AG3539"/>
  <c r="AD3539"/>
  <c r="V3539"/>
  <c r="AG3538"/>
  <c r="V3538"/>
  <c r="V3617" s="1"/>
  <c r="X3617" s="1"/>
  <c r="AG3537"/>
  <c r="AD3538" s="1"/>
  <c r="V3537"/>
  <c r="S3538" s="1"/>
  <c r="X3538" s="1"/>
  <c r="I3537"/>
  <c r="F3539" s="1"/>
  <c r="K3539" s="1"/>
  <c r="I3529"/>
  <c r="P3533" s="1"/>
  <c r="P3527"/>
  <c r="K3527"/>
  <c r="I3527"/>
  <c r="I3543" s="1"/>
  <c r="P3526"/>
  <c r="V3554" s="1"/>
  <c r="V3570" s="1"/>
  <c r="K3526"/>
  <c r="I3526"/>
  <c r="I3542" s="1"/>
  <c r="V3542" s="1"/>
  <c r="P3525"/>
  <c r="M3526" s="1"/>
  <c r="M3527" s="1"/>
  <c r="R3527" s="1"/>
  <c r="F3522"/>
  <c r="F3523" s="1"/>
  <c r="K3523" s="1"/>
  <c r="K3510"/>
  <c r="K3508"/>
  <c r="I3508"/>
  <c r="M3507"/>
  <c r="K3502"/>
  <c r="K3500"/>
  <c r="I3487"/>
  <c r="K3487" s="1"/>
  <c r="K3486"/>
  <c r="I3486"/>
  <c r="I3485"/>
  <c r="K3485" s="1"/>
  <c r="I3484"/>
  <c r="K3484" s="1"/>
  <c r="K3481"/>
  <c r="J3479"/>
  <c r="J3478"/>
  <c r="J3477"/>
  <c r="I3466"/>
  <c r="R3462"/>
  <c r="P3462"/>
  <c r="I3462"/>
  <c r="I3829" s="1"/>
  <c r="K3829" s="1"/>
  <c r="P3460"/>
  <c r="R3460" s="1"/>
  <c r="K3454"/>
  <c r="P3441"/>
  <c r="R3441" s="1"/>
  <c r="P3440"/>
  <c r="R3440" s="1"/>
  <c r="P3439"/>
  <c r="R3439" s="1"/>
  <c r="R3438"/>
  <c r="K3428"/>
  <c r="K3427"/>
  <c r="K3426"/>
  <c r="K3425"/>
  <c r="K3424"/>
  <c r="I3422"/>
  <c r="I3416"/>
  <c r="I3415"/>
  <c r="I3411"/>
  <c r="I3410"/>
  <c r="I3412" s="1"/>
  <c r="F3421" s="1"/>
  <c r="I3409"/>
  <c r="F3420" s="1"/>
  <c r="I3408"/>
  <c r="F3423" s="1"/>
  <c r="I3389"/>
  <c r="I3366"/>
  <c r="I3353" s="1"/>
  <c r="K3353" s="1"/>
  <c r="K3340"/>
  <c r="P3328"/>
  <c r="R3328" s="1"/>
  <c r="R3327"/>
  <c r="P3327"/>
  <c r="P3326"/>
  <c r="R3326" s="1"/>
  <c r="K3320"/>
  <c r="I3310"/>
  <c r="I3309"/>
  <c r="I3307"/>
  <c r="K3307" s="1"/>
  <c r="I3304"/>
  <c r="K3304" s="1"/>
  <c r="K3303"/>
  <c r="I3303"/>
  <c r="I3302"/>
  <c r="K3302" s="1"/>
  <c r="I3301"/>
  <c r="K3301" s="1"/>
  <c r="P3293"/>
  <c r="R3293" s="1"/>
  <c r="I3290"/>
  <c r="K3290" s="1"/>
  <c r="K3289"/>
  <c r="K3288"/>
  <c r="K3287"/>
  <c r="K3286"/>
  <c r="K3285"/>
  <c r="K3284"/>
  <c r="K3281"/>
  <c r="R3267"/>
  <c r="P3267"/>
  <c r="I3327" s="1"/>
  <c r="I3396" s="1"/>
  <c r="I3429" s="1"/>
  <c r="K3429" s="1"/>
  <c r="R3266"/>
  <c r="P3266"/>
  <c r="I3326" s="1"/>
  <c r="K3326" s="1"/>
  <c r="I3266"/>
  <c r="K3266" s="1"/>
  <c r="P3265"/>
  <c r="I3325" s="1"/>
  <c r="I3394" s="1"/>
  <c r="P3264"/>
  <c r="I3324" s="1"/>
  <c r="K3262"/>
  <c r="R3260"/>
  <c r="V3257"/>
  <c r="X3257" s="1"/>
  <c r="V3256"/>
  <c r="X3256" s="1"/>
  <c r="K3256"/>
  <c r="V3255"/>
  <c r="X3255" s="1"/>
  <c r="V3254"/>
  <c r="X3254" s="1"/>
  <c r="V3253"/>
  <c r="X3253" s="1"/>
  <c r="X3252"/>
  <c r="V3252"/>
  <c r="X3249"/>
  <c r="V3249"/>
  <c r="K3243"/>
  <c r="L3236"/>
  <c r="R3233"/>
  <c r="P3233"/>
  <c r="P3300" s="1"/>
  <c r="P3232"/>
  <c r="P3446" s="1"/>
  <c r="R3446" s="1"/>
  <c r="P3231"/>
  <c r="P3445" s="1"/>
  <c r="R3445" s="1"/>
  <c r="R3230"/>
  <c r="P3230"/>
  <c r="P3331" s="1"/>
  <c r="R3331" s="1"/>
  <c r="P3229"/>
  <c r="P3263" s="1"/>
  <c r="P3228"/>
  <c r="I3524" s="1"/>
  <c r="R3227"/>
  <c r="I3227"/>
  <c r="K3227" s="1"/>
  <c r="R3226"/>
  <c r="R3225"/>
  <c r="R3224"/>
  <c r="R3223"/>
  <c r="P3223"/>
  <c r="P3437" s="1"/>
  <c r="R3437" s="1"/>
  <c r="K3212"/>
  <c r="L3210"/>
  <c r="P3199"/>
  <c r="R3199" s="1"/>
  <c r="S3198"/>
  <c r="T3198" s="1"/>
  <c r="R3198"/>
  <c r="K3198"/>
  <c r="R3197"/>
  <c r="R3196"/>
  <c r="R3195"/>
  <c r="L3194"/>
  <c r="P3193"/>
  <c r="R3193" s="1"/>
  <c r="R3191"/>
  <c r="R3190"/>
  <c r="I3172"/>
  <c r="I3185" s="1"/>
  <c r="K3156"/>
  <c r="I3155"/>
  <c r="P3162" s="1"/>
  <c r="R3162" s="1"/>
  <c r="I3154"/>
  <c r="K3154" s="1"/>
  <c r="U3153"/>
  <c r="I3153"/>
  <c r="K3153" s="1"/>
  <c r="U3152"/>
  <c r="I3152"/>
  <c r="P3159" s="1"/>
  <c r="R3159" s="1"/>
  <c r="U3151"/>
  <c r="I3151"/>
  <c r="P3158" s="1"/>
  <c r="I3150"/>
  <c r="P3157" s="1"/>
  <c r="R3157" s="1"/>
  <c r="U3149"/>
  <c r="U3150" s="1"/>
  <c r="U3148"/>
  <c r="I3148"/>
  <c r="P3155" s="1"/>
  <c r="F3148"/>
  <c r="K3148" s="1"/>
  <c r="P3147"/>
  <c r="P3146"/>
  <c r="P3143"/>
  <c r="M3154" s="1"/>
  <c r="P3141"/>
  <c r="M3153" s="1"/>
  <c r="P3140"/>
  <c r="M3156" s="1"/>
  <c r="X3136"/>
  <c r="V3136"/>
  <c r="V3161" s="1"/>
  <c r="X3161" s="1"/>
  <c r="V3134"/>
  <c r="X3134" s="1"/>
  <c r="R3120"/>
  <c r="K3120"/>
  <c r="X3119"/>
  <c r="R3119"/>
  <c r="K3119"/>
  <c r="V3118"/>
  <c r="X3118" s="1"/>
  <c r="X3117"/>
  <c r="V3115"/>
  <c r="I4066" s="1"/>
  <c r="K3110"/>
  <c r="I3110"/>
  <c r="V3122" s="1"/>
  <c r="V3139" s="1"/>
  <c r="AW3108"/>
  <c r="AU3108"/>
  <c r="AS3108"/>
  <c r="V3108"/>
  <c r="AS3107"/>
  <c r="AU3107" s="1"/>
  <c r="AJ3107"/>
  <c r="V3107"/>
  <c r="V3109" s="1"/>
  <c r="K3105"/>
  <c r="V3104"/>
  <c r="V3102"/>
  <c r="V3101"/>
  <c r="K3082"/>
  <c r="F3075"/>
  <c r="I3056"/>
  <c r="P3063" s="1"/>
  <c r="R3063" s="1"/>
  <c r="F3056"/>
  <c r="I3055"/>
  <c r="P3062" s="1"/>
  <c r="R3062" s="1"/>
  <c r="K3038"/>
  <c r="K3017"/>
  <c r="K3041" s="1"/>
  <c r="K3014"/>
  <c r="K3012"/>
  <c r="I3009"/>
  <c r="K3009" s="1"/>
  <c r="K2995"/>
  <c r="I2971"/>
  <c r="P2978" s="1"/>
  <c r="R2978" s="1"/>
  <c r="I2970"/>
  <c r="P2977" s="1"/>
  <c r="R2977" s="1"/>
  <c r="I2967"/>
  <c r="I2964"/>
  <c r="I2963"/>
  <c r="P2925"/>
  <c r="P2924"/>
  <c r="P2923"/>
  <c r="I2884"/>
  <c r="K2884" s="1"/>
  <c r="K2883"/>
  <c r="I2871"/>
  <c r="K2871" s="1"/>
  <c r="I2870"/>
  <c r="K2870" s="1"/>
  <c r="I2869"/>
  <c r="K2869" s="1"/>
  <c r="K2868"/>
  <c r="I2868"/>
  <c r="K2867"/>
  <c r="K2866"/>
  <c r="M2855"/>
  <c r="M2854"/>
  <c r="I2854"/>
  <c r="K2835"/>
  <c r="K2834"/>
  <c r="J2831"/>
  <c r="P2828"/>
  <c r="P2861" s="1"/>
  <c r="R2861" s="1"/>
  <c r="P2827"/>
  <c r="R2827" s="1"/>
  <c r="P2826"/>
  <c r="R2826" s="1"/>
  <c r="P2825"/>
  <c r="P2858" s="1"/>
  <c r="R2858" s="1"/>
  <c r="M2822"/>
  <c r="I2822"/>
  <c r="K2822" s="1"/>
  <c r="M2821"/>
  <c r="K2821"/>
  <c r="K2820"/>
  <c r="K2819"/>
  <c r="K2818"/>
  <c r="F2814"/>
  <c r="AG2794"/>
  <c r="AI2794" s="1"/>
  <c r="AG2793"/>
  <c r="AI2793" s="1"/>
  <c r="AI2792"/>
  <c r="AG2792"/>
  <c r="S2792"/>
  <c r="K2792"/>
  <c r="AI2791"/>
  <c r="AG2791"/>
  <c r="S2791"/>
  <c r="AG2790"/>
  <c r="AI2790" s="1"/>
  <c r="V2790"/>
  <c r="X2790" s="1"/>
  <c r="S2790"/>
  <c r="V2789"/>
  <c r="S2789"/>
  <c r="X2789" s="1"/>
  <c r="AI2788"/>
  <c r="V2788"/>
  <c r="S2788"/>
  <c r="X2788" s="1"/>
  <c r="V2787"/>
  <c r="S2787"/>
  <c r="X2787" s="1"/>
  <c r="V2786"/>
  <c r="S2786"/>
  <c r="X2786" s="1"/>
  <c r="S2785"/>
  <c r="V2784"/>
  <c r="X2784" s="1"/>
  <c r="S2782"/>
  <c r="S2781"/>
  <c r="L2778"/>
  <c r="F2815" s="1"/>
  <c r="S2783" s="1"/>
  <c r="Z2777"/>
  <c r="K2774"/>
  <c r="K2773"/>
  <c r="E2759"/>
  <c r="E2757"/>
  <c r="E2755"/>
  <c r="E2756" s="1"/>
  <c r="E2760" s="1"/>
  <c r="K2733"/>
  <c r="I2733"/>
  <c r="I2717"/>
  <c r="K2717" s="1"/>
  <c r="I2711"/>
  <c r="K2711" s="1"/>
  <c r="L2688"/>
  <c r="K2685"/>
  <c r="I2684"/>
  <c r="K2684" s="1"/>
  <c r="I2681"/>
  <c r="I2696" s="1"/>
  <c r="K2696" s="1"/>
  <c r="I2680"/>
  <c r="K2680" s="1"/>
  <c r="P2675"/>
  <c r="K2670"/>
  <c r="I2670"/>
  <c r="I3108" s="1"/>
  <c r="K3108" s="1"/>
  <c r="I2669"/>
  <c r="I3107" s="1"/>
  <c r="K3107" s="1"/>
  <c r="K2668"/>
  <c r="I2668"/>
  <c r="I3106" s="1"/>
  <c r="K3106" s="1"/>
  <c r="I2667"/>
  <c r="P2674" s="1"/>
  <c r="K2665"/>
  <c r="AG2659"/>
  <c r="AI2659" s="1"/>
  <c r="AI2657"/>
  <c r="AI2656"/>
  <c r="AI2655"/>
  <c r="AI2654"/>
  <c r="AI2653"/>
  <c r="AD2649"/>
  <c r="P2648"/>
  <c r="R2648" s="1"/>
  <c r="P2647"/>
  <c r="R2647" s="1"/>
  <c r="P2646"/>
  <c r="R2646" s="1"/>
  <c r="AG2645"/>
  <c r="P2645"/>
  <c r="R2645" s="1"/>
  <c r="AG2644"/>
  <c r="AG2646" s="1"/>
  <c r="AD2651" s="1"/>
  <c r="P2644"/>
  <c r="R2644" s="1"/>
  <c r="P2642"/>
  <c r="K2641"/>
  <c r="AG2640"/>
  <c r="M2640"/>
  <c r="K2640"/>
  <c r="AG2639"/>
  <c r="AG2641" s="1"/>
  <c r="AD2650" s="1"/>
  <c r="K2639"/>
  <c r="K2638"/>
  <c r="AG2637"/>
  <c r="AD2652" s="1"/>
  <c r="P2637"/>
  <c r="M2642" s="1"/>
  <c r="R2642" s="1"/>
  <c r="K2637"/>
  <c r="K2635"/>
  <c r="P2632"/>
  <c r="M2641" s="1"/>
  <c r="I2630"/>
  <c r="K2629"/>
  <c r="I2629"/>
  <c r="I2625"/>
  <c r="AG2623"/>
  <c r="AI2623" s="1"/>
  <c r="AD2615"/>
  <c r="AG2611"/>
  <c r="AG2610"/>
  <c r="AG2612" s="1"/>
  <c r="AD2617" s="1"/>
  <c r="K2610"/>
  <c r="X2609"/>
  <c r="I2609"/>
  <c r="H3854" s="1"/>
  <c r="V2608"/>
  <c r="X2608" s="1"/>
  <c r="AA2606" s="1"/>
  <c r="AA2607"/>
  <c r="V2607"/>
  <c r="X2607" s="1"/>
  <c r="AG2606"/>
  <c r="V2606"/>
  <c r="AG2605"/>
  <c r="AA2605"/>
  <c r="V2605"/>
  <c r="AG2619" s="1"/>
  <c r="AI2619" s="1"/>
  <c r="I2604"/>
  <c r="AG2603"/>
  <c r="AD2618" s="1"/>
  <c r="AA2603"/>
  <c r="V2603"/>
  <c r="AG2651" s="1"/>
  <c r="AA2601"/>
  <c r="S2601"/>
  <c r="V2597"/>
  <c r="V2596"/>
  <c r="V2592"/>
  <c r="V2591"/>
  <c r="V2589"/>
  <c r="S2604" s="1"/>
  <c r="O2580"/>
  <c r="P2576"/>
  <c r="R2576" s="1"/>
  <c r="K2575"/>
  <c r="H2574"/>
  <c r="P2569"/>
  <c r="I2569"/>
  <c r="K2543"/>
  <c r="K2540"/>
  <c r="I2534"/>
  <c r="N2522"/>
  <c r="R2517"/>
  <c r="P2517"/>
  <c r="K2514"/>
  <c r="R2510"/>
  <c r="K2510"/>
  <c r="I2509"/>
  <c r="P2516" s="1"/>
  <c r="R2516" s="1"/>
  <c r="P2507"/>
  <c r="P2506"/>
  <c r="P2505"/>
  <c r="P2504"/>
  <c r="P2510" s="1"/>
  <c r="M2514" s="1"/>
  <c r="I2503"/>
  <c r="H2487"/>
  <c r="I2479"/>
  <c r="I2481" s="1"/>
  <c r="F2485" s="1"/>
  <c r="H2472"/>
  <c r="I2469"/>
  <c r="K2469" s="1"/>
  <c r="I2468"/>
  <c r="K2468" s="1"/>
  <c r="I2467"/>
  <c r="I2538" s="1"/>
  <c r="I2466"/>
  <c r="I2537" s="1"/>
  <c r="I2462"/>
  <c r="I2442"/>
  <c r="K2442" s="1"/>
  <c r="R2437"/>
  <c r="P2433"/>
  <c r="R2429"/>
  <c r="I2426"/>
  <c r="K2426" s="1"/>
  <c r="K2422"/>
  <c r="R2408"/>
  <c r="I2408"/>
  <c r="K2408" s="1"/>
  <c r="R2407"/>
  <c r="R2406"/>
  <c r="R2405"/>
  <c r="R2404"/>
  <c r="R2403"/>
  <c r="R2402"/>
  <c r="R2401"/>
  <c r="R2400"/>
  <c r="R2399"/>
  <c r="R2398"/>
  <c r="R2397"/>
  <c r="K2397"/>
  <c r="R2396"/>
  <c r="R2395"/>
  <c r="R2394"/>
  <c r="R2393"/>
  <c r="R2392"/>
  <c r="E2392"/>
  <c r="E2393" s="1"/>
  <c r="R2391"/>
  <c r="K2388"/>
  <c r="K2387"/>
  <c r="P2372"/>
  <c r="R2372" s="1"/>
  <c r="P2371"/>
  <c r="R2371" s="1"/>
  <c r="K2366"/>
  <c r="K2365"/>
  <c r="K2364"/>
  <c r="D2347"/>
  <c r="P2335"/>
  <c r="R2335" s="1"/>
  <c r="R2334"/>
  <c r="I2328"/>
  <c r="K2328" s="1"/>
  <c r="K2327"/>
  <c r="E2313"/>
  <c r="I2347" s="1"/>
  <c r="K2347" s="1"/>
  <c r="I2312"/>
  <c r="K2312" s="1"/>
  <c r="I2311"/>
  <c r="K2311" s="1"/>
  <c r="I2310"/>
  <c r="K2310" s="1"/>
  <c r="I2309"/>
  <c r="K2309" s="1"/>
  <c r="L2307"/>
  <c r="L2308" s="1"/>
  <c r="I2299"/>
  <c r="H2299"/>
  <c r="I2297"/>
  <c r="I2313" s="1"/>
  <c r="K2313" s="1"/>
  <c r="K2295"/>
  <c r="K2291"/>
  <c r="I3018" s="1"/>
  <c r="K3018" s="1"/>
  <c r="K2290"/>
  <c r="K2289"/>
  <c r="K2287"/>
  <c r="K2286"/>
  <c r="K2285"/>
  <c r="K2283"/>
  <c r="K2282"/>
  <c r="K2281"/>
  <c r="K2280"/>
  <c r="K2277"/>
  <c r="K2276"/>
  <c r="K2275"/>
  <c r="K2273"/>
  <c r="L2270"/>
  <c r="K2269"/>
  <c r="K2268"/>
  <c r="K2267"/>
  <c r="K2266"/>
  <c r="K2265"/>
  <c r="K2264"/>
  <c r="K2263"/>
  <c r="K2262"/>
  <c r="K2261"/>
  <c r="L2260"/>
  <c r="L2259"/>
  <c r="M2255"/>
  <c r="K2248"/>
  <c r="I2247"/>
  <c r="K2247" s="1"/>
  <c r="K2246"/>
  <c r="I2246"/>
  <c r="I2245"/>
  <c r="K2245" s="1"/>
  <c r="I2244"/>
  <c r="K2244" s="1"/>
  <c r="I2221"/>
  <c r="K2221" s="1"/>
  <c r="K2225" s="1"/>
  <c r="I2212"/>
  <c r="K2212" s="1"/>
  <c r="K2216" s="1"/>
  <c r="I2202"/>
  <c r="K2202" s="1"/>
  <c r="K2206" s="1"/>
  <c r="J2197"/>
  <c r="K2197" s="1"/>
  <c r="K2200" s="1"/>
  <c r="I2189"/>
  <c r="K2189" s="1"/>
  <c r="K2193" s="1"/>
  <c r="K2176"/>
  <c r="I2176"/>
  <c r="H2174"/>
  <c r="I2163"/>
  <c r="K2163" s="1"/>
  <c r="R2151"/>
  <c r="I2149"/>
  <c r="P2156" s="1"/>
  <c r="R2156" s="1"/>
  <c r="I2144"/>
  <c r="K2144" s="1"/>
  <c r="I2129"/>
  <c r="K2129" s="1"/>
  <c r="I2124"/>
  <c r="K2124" s="1"/>
  <c r="K2116"/>
  <c r="K2119" s="1"/>
  <c r="I2116"/>
  <c r="I2104"/>
  <c r="K2104" s="1"/>
  <c r="K2096"/>
  <c r="K2095"/>
  <c r="I2094"/>
  <c r="K2094" s="1"/>
  <c r="I2093"/>
  <c r="K2093" s="1"/>
  <c r="I2076"/>
  <c r="K2076" s="1"/>
  <c r="I2075"/>
  <c r="K2075" s="1"/>
  <c r="I2074"/>
  <c r="K2074" s="1"/>
  <c r="I2073"/>
  <c r="K2073" s="1"/>
  <c r="K2052"/>
  <c r="I2052"/>
  <c r="I2051"/>
  <c r="K2051" s="1"/>
  <c r="K2050"/>
  <c r="I2049"/>
  <c r="K2049" s="1"/>
  <c r="P2032"/>
  <c r="P2024"/>
  <c r="R2024" s="1"/>
  <c r="I2024"/>
  <c r="K2024" s="1"/>
  <c r="P2014"/>
  <c r="I2005"/>
  <c r="K2005" s="1"/>
  <c r="P1996"/>
  <c r="P1990"/>
  <c r="P1988"/>
  <c r="K1986"/>
  <c r="I1986"/>
  <c r="P1986" s="1"/>
  <c r="R1986" s="1"/>
  <c r="P1975"/>
  <c r="I1968"/>
  <c r="K1968" s="1"/>
  <c r="N1943"/>
  <c r="K1941"/>
  <c r="K1939"/>
  <c r="I1936"/>
  <c r="K1936" s="1"/>
  <c r="K1925"/>
  <c r="I1922"/>
  <c r="K1922" s="1"/>
  <c r="K1909"/>
  <c r="I1909"/>
  <c r="P1908"/>
  <c r="P1909" s="1"/>
  <c r="R1909" s="1"/>
  <c r="I1908"/>
  <c r="K1908" s="1"/>
  <c r="K1907"/>
  <c r="I1907"/>
  <c r="P1897"/>
  <c r="I1896"/>
  <c r="K1896" s="1"/>
  <c r="K1895"/>
  <c r="I1895"/>
  <c r="R1890"/>
  <c r="R1889"/>
  <c r="R1887"/>
  <c r="I1887"/>
  <c r="K1887" s="1"/>
  <c r="K1886"/>
  <c r="I1878"/>
  <c r="K1878" s="1"/>
  <c r="R1877"/>
  <c r="P1877"/>
  <c r="P1878" s="1"/>
  <c r="R1878" s="1"/>
  <c r="K1870"/>
  <c r="I1870"/>
  <c r="I2763" s="1"/>
  <c r="P1866"/>
  <c r="P1865"/>
  <c r="P1896" s="1"/>
  <c r="P1864"/>
  <c r="P1895" s="1"/>
  <c r="R1859"/>
  <c r="R1858"/>
  <c r="P1857"/>
  <c r="P1888" s="1"/>
  <c r="K1848"/>
  <c r="K1843"/>
  <c r="I1843"/>
  <c r="I1842"/>
  <c r="K1842" s="1"/>
  <c r="I1840"/>
  <c r="P1856" s="1"/>
  <c r="R1856" s="1"/>
  <c r="K1830"/>
  <c r="I1825"/>
  <c r="K1825" s="1"/>
  <c r="I1824"/>
  <c r="K1824" s="1"/>
  <c r="I1822"/>
  <c r="K1822" s="1"/>
  <c r="K1812"/>
  <c r="K1807"/>
  <c r="I1807"/>
  <c r="I2736" s="1"/>
  <c r="K2736" s="1"/>
  <c r="I1806"/>
  <c r="I2735" s="1"/>
  <c r="K2735" s="1"/>
  <c r="I1804"/>
  <c r="K1804" s="1"/>
  <c r="K1797"/>
  <c r="K1796"/>
  <c r="K1793"/>
  <c r="K1786"/>
  <c r="K1785"/>
  <c r="I1785"/>
  <c r="I1770"/>
  <c r="K1770" s="1"/>
  <c r="K1769"/>
  <c r="I1769"/>
  <c r="K1768"/>
  <c r="K1756"/>
  <c r="K1755"/>
  <c r="K1754"/>
  <c r="K1751"/>
  <c r="K1723"/>
  <c r="K1722"/>
  <c r="K1721"/>
  <c r="AG1695"/>
  <c r="AG1694"/>
  <c r="K1694"/>
  <c r="AG1693"/>
  <c r="AG1692"/>
  <c r="AG1691"/>
  <c r="AG1690"/>
  <c r="AG1689"/>
  <c r="AG1688"/>
  <c r="AG1687"/>
  <c r="K1687"/>
  <c r="K1690" s="1"/>
  <c r="AG1686"/>
  <c r="AG1685"/>
  <c r="AG1684"/>
  <c r="AG1683"/>
  <c r="AG1682"/>
  <c r="AG1681"/>
  <c r="AG1680"/>
  <c r="K1680"/>
  <c r="AG1679"/>
  <c r="AG1678"/>
  <c r="K1678"/>
  <c r="K1682" s="1"/>
  <c r="AG1677"/>
  <c r="AG1676"/>
  <c r="AG1675"/>
  <c r="AG1674"/>
  <c r="AG1673"/>
  <c r="AG1672"/>
  <c r="AG1671"/>
  <c r="AG1670"/>
  <c r="AG1669"/>
  <c r="AG1668"/>
  <c r="AG1667"/>
  <c r="K1667"/>
  <c r="AG1666"/>
  <c r="K1666"/>
  <c r="AG1665"/>
  <c r="AG1664"/>
  <c r="AG1663"/>
  <c r="AG1662"/>
  <c r="AG1661"/>
  <c r="AG1660"/>
  <c r="AG1659"/>
  <c r="AG1658"/>
  <c r="AG1657"/>
  <c r="AG1656"/>
  <c r="AG1655"/>
  <c r="AG1654"/>
  <c r="AG1653"/>
  <c r="AG1652"/>
  <c r="AG1651"/>
  <c r="AG1650"/>
  <c r="AG1649"/>
  <c r="AG1648"/>
  <c r="AG1647"/>
  <c r="AG1646"/>
  <c r="AG1645"/>
  <c r="AG1644"/>
  <c r="AG1643"/>
  <c r="AG1642"/>
  <c r="AG1641"/>
  <c r="AG1640"/>
  <c r="S1640"/>
  <c r="AG1639"/>
  <c r="AG1638"/>
  <c r="AG1637"/>
  <c r="AG1636"/>
  <c r="AG1635"/>
  <c r="R1635"/>
  <c r="AG1634"/>
  <c r="P1634"/>
  <c r="AG1633"/>
  <c r="AG1632"/>
  <c r="Q1632"/>
  <c r="AG1631"/>
  <c r="R1631"/>
  <c r="Q1631"/>
  <c r="AG1630"/>
  <c r="Q1630"/>
  <c r="I1630"/>
  <c r="P1632" s="1"/>
  <c r="R1632" s="1"/>
  <c r="AG1629"/>
  <c r="R1629"/>
  <c r="Q1629"/>
  <c r="K1629"/>
  <c r="I1629"/>
  <c r="AG1628"/>
  <c r="Q1628"/>
  <c r="K1628"/>
  <c r="I1628"/>
  <c r="P1630" s="1"/>
  <c r="R1630" s="1"/>
  <c r="AG1627"/>
  <c r="I1627"/>
  <c r="K1627" s="1"/>
  <c r="AG1626"/>
  <c r="I1626"/>
  <c r="P1628" s="1"/>
  <c r="R1628" s="1"/>
  <c r="AG1625"/>
  <c r="AG1624"/>
  <c r="AG1623"/>
  <c r="AG1622"/>
  <c r="AG1621"/>
  <c r="AG1620"/>
  <c r="AG1619"/>
  <c r="AG1618"/>
  <c r="AG1617"/>
  <c r="AG1616"/>
  <c r="AG1615"/>
  <c r="O1615"/>
  <c r="AG1614"/>
  <c r="I1614"/>
  <c r="K1614" s="1"/>
  <c r="AG1613"/>
  <c r="AG1612"/>
  <c r="AG1611"/>
  <c r="AG1610"/>
  <c r="AG1609"/>
  <c r="AG1608"/>
  <c r="AG1607"/>
  <c r="AG1606"/>
  <c r="AG1605"/>
  <c r="AG1604"/>
  <c r="AG1603"/>
  <c r="P1603"/>
  <c r="R1603" s="1"/>
  <c r="AG1602"/>
  <c r="AG1601"/>
  <c r="AG1600"/>
  <c r="AG1599"/>
  <c r="AG1598"/>
  <c r="AG1597"/>
  <c r="AG1596"/>
  <c r="AG1595"/>
  <c r="AG1594"/>
  <c r="AG1593"/>
  <c r="AG1592"/>
  <c r="AG1591"/>
  <c r="K1591"/>
  <c r="AG1590"/>
  <c r="AG1589"/>
  <c r="AG1588"/>
  <c r="AG1587"/>
  <c r="I1587"/>
  <c r="I1602" s="1"/>
  <c r="K1602" s="1"/>
  <c r="AG1586"/>
  <c r="AG1585"/>
  <c r="AG1584"/>
  <c r="AG1583"/>
  <c r="AG1582"/>
  <c r="AG1581"/>
  <c r="AG1580"/>
  <c r="AG1579"/>
  <c r="AG1578"/>
  <c r="K1578"/>
  <c r="AG1577"/>
  <c r="AG1576"/>
  <c r="AG1575"/>
  <c r="AG1574"/>
  <c r="I1574"/>
  <c r="K1574" s="1"/>
  <c r="AG1573"/>
  <c r="AG1572"/>
  <c r="AG1571"/>
  <c r="AG1570"/>
  <c r="AG1569"/>
  <c r="AG1568"/>
  <c r="AG1567"/>
  <c r="AG1566"/>
  <c r="AG1565"/>
  <c r="AG1564"/>
  <c r="AG1563"/>
  <c r="K1563"/>
  <c r="I1563"/>
  <c r="AG1562"/>
  <c r="K1562"/>
  <c r="AG1561"/>
  <c r="AG1560"/>
  <c r="AG1559"/>
  <c r="I1559"/>
  <c r="K1559" s="1"/>
  <c r="AG1558"/>
  <c r="AG1557"/>
  <c r="AG1556"/>
  <c r="AG1555"/>
  <c r="AG1554"/>
  <c r="AG1553"/>
  <c r="AG1552"/>
  <c r="AG1551"/>
  <c r="AG1550"/>
  <c r="AG1549"/>
  <c r="AG1548"/>
  <c r="AG1547"/>
  <c r="I1547"/>
  <c r="I3196" s="1"/>
  <c r="AG1546"/>
  <c r="AG1545"/>
  <c r="AG1544"/>
  <c r="AG1543"/>
  <c r="AG1542"/>
  <c r="AG1541"/>
  <c r="AG1540"/>
  <c r="AG1539"/>
  <c r="AG1538"/>
  <c r="P1538"/>
  <c r="R1538" s="1"/>
  <c r="AG1537"/>
  <c r="AG1536"/>
  <c r="AG1535"/>
  <c r="AG1534"/>
  <c r="K1534"/>
  <c r="I1534"/>
  <c r="I3210" s="1"/>
  <c r="AG1533"/>
  <c r="AG1532"/>
  <c r="I1532"/>
  <c r="K1532" s="1"/>
  <c r="AG1531"/>
  <c r="AG1530"/>
  <c r="AG1529"/>
  <c r="AG1528"/>
  <c r="AG1527"/>
  <c r="AG1526"/>
  <c r="AG1525"/>
  <c r="AG1524"/>
  <c r="AG1523"/>
  <c r="AG1522"/>
  <c r="AG1521"/>
  <c r="R1521"/>
  <c r="AG1520"/>
  <c r="AG1519"/>
  <c r="AG1518"/>
  <c r="AG1517"/>
  <c r="I1517"/>
  <c r="K1517" s="1"/>
  <c r="AG1516"/>
  <c r="AG1515"/>
  <c r="AG1514"/>
  <c r="AG1513"/>
  <c r="AG1512"/>
  <c r="AG1511"/>
  <c r="AG1510"/>
  <c r="AG1509"/>
  <c r="AG1508"/>
  <c r="AG1507"/>
  <c r="AG1506"/>
  <c r="AG1505"/>
  <c r="I1505"/>
  <c r="I3168" s="1"/>
  <c r="AG1504"/>
  <c r="AG1503"/>
  <c r="AG1502"/>
  <c r="AG1501"/>
  <c r="AG1500"/>
  <c r="M1500"/>
  <c r="AG1499"/>
  <c r="AG1498"/>
  <c r="AG1497"/>
  <c r="AG1496"/>
  <c r="O1496"/>
  <c r="AG1495"/>
  <c r="O1495"/>
  <c r="AG1494"/>
  <c r="O1494"/>
  <c r="AG1493"/>
  <c r="AG1492"/>
  <c r="AG1491"/>
  <c r="AG1490"/>
  <c r="AG1489"/>
  <c r="AG1488"/>
  <c r="AG1487"/>
  <c r="AG1486"/>
  <c r="AG1485"/>
  <c r="AG1484"/>
  <c r="AG1483"/>
  <c r="AG1482"/>
  <c r="U1482"/>
  <c r="T1482"/>
  <c r="S1482"/>
  <c r="AG1481"/>
  <c r="AG1480"/>
  <c r="AG1479"/>
  <c r="AG1478"/>
  <c r="AG1477"/>
  <c r="AG1476"/>
  <c r="AG1475"/>
  <c r="AG1474"/>
  <c r="AG1473"/>
  <c r="AG1472"/>
  <c r="AG1471"/>
  <c r="AG1470"/>
  <c r="AG1469"/>
  <c r="AG1468"/>
  <c r="AG1467"/>
  <c r="AG1466"/>
  <c r="AG1465"/>
  <c r="AG1464"/>
  <c r="AG1463"/>
  <c r="AG1462"/>
  <c r="AG1461"/>
  <c r="AG1460"/>
  <c r="AG1459"/>
  <c r="AG1458"/>
  <c r="AG1457"/>
  <c r="AG1456"/>
  <c r="AG1455"/>
  <c r="AG1454"/>
  <c r="S1454"/>
  <c r="AG1453"/>
  <c r="AG1452"/>
  <c r="M1452"/>
  <c r="AG1451"/>
  <c r="AG1450"/>
  <c r="AG1449"/>
  <c r="AG1448"/>
  <c r="AG1447"/>
  <c r="AG1446"/>
  <c r="AG1445"/>
  <c r="AG1444"/>
  <c r="AG1443"/>
  <c r="AG1442"/>
  <c r="AG1441"/>
  <c r="AG1440"/>
  <c r="AG1439"/>
  <c r="AG1438"/>
  <c r="AG1437"/>
  <c r="I1437"/>
  <c r="K1437" s="1"/>
  <c r="AG1436"/>
  <c r="AG1435"/>
  <c r="AG1434"/>
  <c r="AG1433"/>
  <c r="U1433"/>
  <c r="AG1432"/>
  <c r="AG1431"/>
  <c r="AG1430"/>
  <c r="S1430"/>
  <c r="AG1429"/>
  <c r="X1429"/>
  <c r="AG1428"/>
  <c r="X1428"/>
  <c r="AG1427"/>
  <c r="X1427"/>
  <c r="AG1426"/>
  <c r="AG1425"/>
  <c r="AG1424"/>
  <c r="AG1423"/>
  <c r="AG1422"/>
  <c r="AG1421"/>
  <c r="AG1420"/>
  <c r="AG1419"/>
  <c r="Z1419"/>
  <c r="L1419"/>
  <c r="AG1418"/>
  <c r="P1418"/>
  <c r="P1435" s="1"/>
  <c r="AG1417"/>
  <c r="Z1417"/>
  <c r="P1417"/>
  <c r="P1434" s="1"/>
  <c r="P1450" s="1"/>
  <c r="AG1416"/>
  <c r="R1416"/>
  <c r="P1416"/>
  <c r="P1433" s="1"/>
  <c r="P1449" s="1"/>
  <c r="AG1415"/>
  <c r="AG1414"/>
  <c r="P1414"/>
  <c r="P1431" s="1"/>
  <c r="AG1413"/>
  <c r="R1413"/>
  <c r="P1413"/>
  <c r="P1430" s="1"/>
  <c r="P1446" s="1"/>
  <c r="AG1412"/>
  <c r="P1412"/>
  <c r="P1429" s="1"/>
  <c r="AG1411"/>
  <c r="AG1410"/>
  <c r="AG1409"/>
  <c r="AG1408"/>
  <c r="P1408"/>
  <c r="R1408" s="1"/>
  <c r="AG1407"/>
  <c r="AG1406"/>
  <c r="S1406"/>
  <c r="AG1405"/>
  <c r="S1405"/>
  <c r="AG1404"/>
  <c r="S1404"/>
  <c r="L1404"/>
  <c r="AG1403"/>
  <c r="S1403"/>
  <c r="AG1402"/>
  <c r="S1402"/>
  <c r="AG1401"/>
  <c r="R1401"/>
  <c r="AG1400"/>
  <c r="R1400"/>
  <c r="AG1399"/>
  <c r="R1399"/>
  <c r="AG1398"/>
  <c r="AG1397"/>
  <c r="R1397"/>
  <c r="AG1396"/>
  <c r="R1396"/>
  <c r="AG1395"/>
  <c r="R1395"/>
  <c r="AG1394"/>
  <c r="P1394"/>
  <c r="R1394" s="1"/>
  <c r="AG1393"/>
  <c r="P1393"/>
  <c r="P1410" s="1"/>
  <c r="AG1392"/>
  <c r="R1392"/>
  <c r="P1392"/>
  <c r="P1409" s="1"/>
  <c r="AG1391"/>
  <c r="R1391"/>
  <c r="AG1390"/>
  <c r="AG1389"/>
  <c r="AG1388"/>
  <c r="AG1387"/>
  <c r="AG1386"/>
  <c r="AG1385"/>
  <c r="AG1384"/>
  <c r="AG1383"/>
  <c r="AG1382"/>
  <c r="AG1381"/>
  <c r="AG1380"/>
  <c r="AG1379"/>
  <c r="X1379"/>
  <c r="V1379"/>
  <c r="V1396" s="1"/>
  <c r="AG1378"/>
  <c r="V1378"/>
  <c r="V1395" s="1"/>
  <c r="K1378"/>
  <c r="I1378"/>
  <c r="AG1377"/>
  <c r="V1377"/>
  <c r="V1394" s="1"/>
  <c r="AG1376"/>
  <c r="AG1375"/>
  <c r="X1375"/>
  <c r="V1375"/>
  <c r="V1392" s="1"/>
  <c r="K1375"/>
  <c r="I1375"/>
  <c r="AG1374"/>
  <c r="V1374"/>
  <c r="V1391" s="1"/>
  <c r="V1407" s="1"/>
  <c r="AG1373"/>
  <c r="X1373"/>
  <c r="V1373"/>
  <c r="V1390" s="1"/>
  <c r="V1406" s="1"/>
  <c r="AG1372"/>
  <c r="P1372"/>
  <c r="R1372" s="1"/>
  <c r="AG1371"/>
  <c r="AG1370"/>
  <c r="AG1369"/>
  <c r="AG1368"/>
  <c r="AG1367"/>
  <c r="AG1366"/>
  <c r="AG1365"/>
  <c r="AG1364"/>
  <c r="AG1363"/>
  <c r="AG1362"/>
  <c r="X1362"/>
  <c r="V1362"/>
  <c r="AG1361"/>
  <c r="V1361"/>
  <c r="X1361" s="1"/>
  <c r="AG1360"/>
  <c r="AF1360"/>
  <c r="AD1360"/>
  <c r="I3995" s="1"/>
  <c r="K3995" s="1"/>
  <c r="V1360"/>
  <c r="X1360" s="1"/>
  <c r="AG1359"/>
  <c r="AG1358"/>
  <c r="V1358"/>
  <c r="X1358" s="1"/>
  <c r="AG1357"/>
  <c r="V1357"/>
  <c r="X1357" s="1"/>
  <c r="AG1356"/>
  <c r="AD1356"/>
  <c r="AD1373" s="1"/>
  <c r="V1356"/>
  <c r="X1356" s="1"/>
  <c r="I1356"/>
  <c r="K1356" s="1"/>
  <c r="AG1355"/>
  <c r="AD1355"/>
  <c r="I3992" s="1"/>
  <c r="V1355"/>
  <c r="AD1353" s="1"/>
  <c r="R1355"/>
  <c r="AG1354"/>
  <c r="AD1354"/>
  <c r="I3991" s="1"/>
  <c r="AG1353"/>
  <c r="V1353"/>
  <c r="AD1351" s="1"/>
  <c r="R1353"/>
  <c r="R1357" s="1"/>
  <c r="R1358" s="1"/>
  <c r="AG1352"/>
  <c r="V1352"/>
  <c r="AD1350" s="1"/>
  <c r="AG1351"/>
  <c r="AG1350"/>
  <c r="AG1349"/>
  <c r="AG1348"/>
  <c r="AG1347"/>
  <c r="Z1347"/>
  <c r="AG1346"/>
  <c r="AG1345"/>
  <c r="AG1344"/>
  <c r="AG1343"/>
  <c r="AG1342"/>
  <c r="X1342"/>
  <c r="AG1341"/>
  <c r="X1341"/>
  <c r="AG1340"/>
  <c r="X1340"/>
  <c r="AG1339"/>
  <c r="X1339"/>
  <c r="V1339"/>
  <c r="AG1338"/>
  <c r="X1338"/>
  <c r="AG1337"/>
  <c r="AG1336"/>
  <c r="AG1335"/>
  <c r="AG1334"/>
  <c r="AG1333"/>
  <c r="AG1332"/>
  <c r="R1332"/>
  <c r="AG1331"/>
  <c r="X1331"/>
  <c r="AG1330"/>
  <c r="AG1329"/>
  <c r="AG1328"/>
  <c r="AG1327"/>
  <c r="AG1326"/>
  <c r="AG1325"/>
  <c r="AG1324"/>
  <c r="V1324"/>
  <c r="X1324" s="1"/>
  <c r="AG1323"/>
  <c r="AG1322"/>
  <c r="AG1321"/>
  <c r="AG1320"/>
  <c r="P1320"/>
  <c r="P1301" s="1"/>
  <c r="R1301" s="1"/>
  <c r="AG1319"/>
  <c r="R1319"/>
  <c r="AG1318"/>
  <c r="X1318"/>
  <c r="V1318"/>
  <c r="AG1317"/>
  <c r="AG1316"/>
  <c r="AG1315"/>
  <c r="AG1314"/>
  <c r="AG1313"/>
  <c r="AG1312"/>
  <c r="AG1311"/>
  <c r="AG1310"/>
  <c r="AG1309"/>
  <c r="AG1308"/>
  <c r="AG1307"/>
  <c r="AG1306"/>
  <c r="P1306"/>
  <c r="R1306" s="1"/>
  <c r="AG1305"/>
  <c r="V1305"/>
  <c r="V1325" s="1"/>
  <c r="AG1304"/>
  <c r="X1304"/>
  <c r="AG1303"/>
  <c r="AG1302"/>
  <c r="AG1301"/>
  <c r="AG1300"/>
  <c r="R1300"/>
  <c r="AG1299"/>
  <c r="AG1298"/>
  <c r="X1298"/>
  <c r="AG1297"/>
  <c r="AG1296"/>
  <c r="AG1295"/>
  <c r="AG1294"/>
  <c r="AG1293"/>
  <c r="AG1292"/>
  <c r="AG1291"/>
  <c r="AG1290"/>
  <c r="AG1289"/>
  <c r="AG1288"/>
  <c r="AG1287"/>
  <c r="AG1286"/>
  <c r="AG1285"/>
  <c r="X1285"/>
  <c r="V1285"/>
  <c r="AG1284"/>
  <c r="AG1283"/>
  <c r="K1283"/>
  <c r="AG1282"/>
  <c r="AG1281"/>
  <c r="AG1280"/>
  <c r="AG1279"/>
  <c r="V1279"/>
  <c r="AG1278"/>
  <c r="AG1277"/>
  <c r="X1277"/>
  <c r="AG1276"/>
  <c r="AG1275"/>
  <c r="AG1274"/>
  <c r="AG1273"/>
  <c r="AG1272"/>
  <c r="AG1271"/>
  <c r="AG1270"/>
  <c r="I1270"/>
  <c r="K1270" s="1"/>
  <c r="AG1269"/>
  <c r="I1269"/>
  <c r="K1269" s="1"/>
  <c r="AG1268"/>
  <c r="AG1267"/>
  <c r="AF1267"/>
  <c r="AG1266"/>
  <c r="AE1266"/>
  <c r="AG1265"/>
  <c r="AE1265"/>
  <c r="AG1264"/>
  <c r="AE1264"/>
  <c r="R1264"/>
  <c r="P1264"/>
  <c r="P1380" s="1"/>
  <c r="R1380" s="1"/>
  <c r="AG1263"/>
  <c r="AE1263"/>
  <c r="AD1263"/>
  <c r="AF1263" s="1"/>
  <c r="AG1262"/>
  <c r="AE1262"/>
  <c r="AD1262"/>
  <c r="AF1262" s="1"/>
  <c r="AG1261"/>
  <c r="AG1260"/>
  <c r="AG1259"/>
  <c r="AG1258"/>
  <c r="R1257"/>
  <c r="AG1256"/>
  <c r="K1256"/>
  <c r="AG1255"/>
  <c r="AG1254"/>
  <c r="AG1253"/>
  <c r="AD1253"/>
  <c r="AG1252"/>
  <c r="AG1251"/>
  <c r="AG1250"/>
  <c r="AG1249"/>
  <c r="AF1249"/>
  <c r="AG1248"/>
  <c r="K1248"/>
  <c r="I1248"/>
  <c r="AG1247"/>
  <c r="AG1246"/>
  <c r="AG1245"/>
  <c r="AG1244"/>
  <c r="V1244"/>
  <c r="X1244" s="1"/>
  <c r="AG1243"/>
  <c r="AG1242"/>
  <c r="AG1241"/>
  <c r="AF1241"/>
  <c r="P1241"/>
  <c r="R1241" s="1"/>
  <c r="AG1240"/>
  <c r="AG1239"/>
  <c r="AG1238"/>
  <c r="AG1237"/>
  <c r="X1237"/>
  <c r="AG1236"/>
  <c r="AG1235"/>
  <c r="AG1234"/>
  <c r="R1234"/>
  <c r="AG1233"/>
  <c r="I1233"/>
  <c r="K1233" s="1"/>
  <c r="AG1232"/>
  <c r="I1232"/>
  <c r="K1232" s="1"/>
  <c r="AG1231"/>
  <c r="I1231"/>
  <c r="K1231" s="1"/>
  <c r="AG1230"/>
  <c r="AG1229"/>
  <c r="AG1228"/>
  <c r="AG1227"/>
  <c r="AG1226"/>
  <c r="AD1226"/>
  <c r="S1226"/>
  <c r="AG1225"/>
  <c r="AD1225"/>
  <c r="AG1224"/>
  <c r="AG1223"/>
  <c r="AG1222"/>
  <c r="P1222"/>
  <c r="R1222" s="1"/>
  <c r="T1222" s="1"/>
  <c r="AG1221"/>
  <c r="AD1221"/>
  <c r="AF1221" s="1"/>
  <c r="AG1220"/>
  <c r="AG1219"/>
  <c r="AG1218"/>
  <c r="AG1217"/>
  <c r="AG1216"/>
  <c r="AG1215"/>
  <c r="AD1215"/>
  <c r="T1215"/>
  <c r="R1215"/>
  <c r="AG1214"/>
  <c r="AG1213"/>
  <c r="AF1213"/>
  <c r="AG1212"/>
  <c r="AE1212"/>
  <c r="AG1211"/>
  <c r="AG1210"/>
  <c r="AG1209"/>
  <c r="AG1203"/>
  <c r="AG1202"/>
  <c r="K1193"/>
  <c r="AG1191"/>
  <c r="K1191"/>
  <c r="AG1190"/>
  <c r="AG1189"/>
  <c r="AM1188"/>
  <c r="AG1188"/>
  <c r="AF1188"/>
  <c r="AG1187"/>
  <c r="AG1186"/>
  <c r="AG1185"/>
  <c r="AG1184"/>
  <c r="AG1183"/>
  <c r="AG1182"/>
  <c r="AG1181"/>
  <c r="AG1180"/>
  <c r="AG1179"/>
  <c r="AG1178"/>
  <c r="K1178"/>
  <c r="AG1177"/>
  <c r="K1177"/>
  <c r="AG1176"/>
  <c r="Q1176"/>
  <c r="K1176"/>
  <c r="AG1175"/>
  <c r="AG1174"/>
  <c r="AG1173"/>
  <c r="AG1172"/>
  <c r="AG1171"/>
  <c r="AG1170"/>
  <c r="AG1169"/>
  <c r="AG1168"/>
  <c r="AG1167"/>
  <c r="AG1166"/>
  <c r="AG1165"/>
  <c r="AG1164"/>
  <c r="AG1163"/>
  <c r="AG1162"/>
  <c r="AG1161"/>
  <c r="AG1160"/>
  <c r="I1160"/>
  <c r="K1160" s="1"/>
  <c r="AG1159"/>
  <c r="I1159"/>
  <c r="K1159" s="1"/>
  <c r="AG1158"/>
  <c r="AG1157"/>
  <c r="AG1156"/>
  <c r="AG1155"/>
  <c r="AG1154"/>
  <c r="AG1153"/>
  <c r="X1153"/>
  <c r="AG1152"/>
  <c r="AG1151"/>
  <c r="P1151"/>
  <c r="AG1150"/>
  <c r="P1150"/>
  <c r="AG1149"/>
  <c r="P1149"/>
  <c r="AG1147"/>
  <c r="AG1146"/>
  <c r="I1146"/>
  <c r="K1146" s="1"/>
  <c r="AG1145"/>
  <c r="K1145"/>
  <c r="I1145"/>
  <c r="AG1144"/>
  <c r="AG1143"/>
  <c r="AG1142"/>
  <c r="Q1142"/>
  <c r="AG1141"/>
  <c r="AG1140"/>
  <c r="AG1139"/>
  <c r="AG1138"/>
  <c r="AG1137"/>
  <c r="AG1136"/>
  <c r="AG1135"/>
  <c r="K1135"/>
  <c r="AG1134"/>
  <c r="K1134"/>
  <c r="AG1133"/>
  <c r="I1133"/>
  <c r="K1133" s="1"/>
  <c r="AG1132"/>
  <c r="I1132"/>
  <c r="K1132" s="1"/>
  <c r="AG1131"/>
  <c r="AG1130"/>
  <c r="K1130"/>
  <c r="AG1129"/>
  <c r="AG1128"/>
  <c r="AG1127"/>
  <c r="AG1126"/>
  <c r="AG1125"/>
  <c r="AG1124"/>
  <c r="AG1123"/>
  <c r="AG1122"/>
  <c r="AG1121"/>
  <c r="AG1120"/>
  <c r="AG1119"/>
  <c r="AG1118"/>
  <c r="AG1116"/>
  <c r="AG1115"/>
  <c r="AG1114"/>
  <c r="AG1113"/>
  <c r="AG1112"/>
  <c r="AG1111"/>
  <c r="AG1110"/>
  <c r="AG1109"/>
  <c r="AG1108"/>
  <c r="AG1107"/>
  <c r="I1107"/>
  <c r="K1107" s="1"/>
  <c r="AG1106"/>
  <c r="I1106"/>
  <c r="K1106" s="1"/>
  <c r="AG1105"/>
  <c r="I1105"/>
  <c r="K1105" s="1"/>
  <c r="AG1104"/>
  <c r="AG1103"/>
  <c r="I1103"/>
  <c r="K1103" s="1"/>
  <c r="AG1101"/>
  <c r="AG1100"/>
  <c r="AG1099"/>
  <c r="AG1098"/>
  <c r="AG1097"/>
  <c r="AG1096"/>
  <c r="AG1095"/>
  <c r="AG1094"/>
  <c r="AG1093"/>
  <c r="AG1092"/>
  <c r="R1092"/>
  <c r="I1092"/>
  <c r="K1092" s="1"/>
  <c r="AG1091"/>
  <c r="AG1090"/>
  <c r="I1090"/>
  <c r="K1090" s="1"/>
  <c r="AG1089"/>
  <c r="I1089"/>
  <c r="K1089" s="1"/>
  <c r="AG1088"/>
  <c r="AG1087"/>
  <c r="I1087"/>
  <c r="K1087" s="1"/>
  <c r="H1087"/>
  <c r="H1103" s="1"/>
  <c r="AG1086"/>
  <c r="AG1085"/>
  <c r="AG1084"/>
  <c r="AG1083"/>
  <c r="AG1082"/>
  <c r="AG1081"/>
  <c r="AG1080"/>
  <c r="AG1079"/>
  <c r="AG1078"/>
  <c r="AG1077"/>
  <c r="I1077"/>
  <c r="K1077" s="1"/>
  <c r="I1075"/>
  <c r="K1075" s="1"/>
  <c r="I1074"/>
  <c r="K1074" s="1"/>
  <c r="K1072"/>
  <c r="AG1071"/>
  <c r="AI1071" s="1"/>
  <c r="I1062"/>
  <c r="K1062" s="1"/>
  <c r="K1061"/>
  <c r="I1061"/>
  <c r="AG1070" s="1"/>
  <c r="AI1070" s="1"/>
  <c r="I1060"/>
  <c r="I1076" s="1"/>
  <c r="I1059"/>
  <c r="P1070" s="1"/>
  <c r="R1070" s="1"/>
  <c r="I1058"/>
  <c r="P1069" s="1"/>
  <c r="R1069" s="1"/>
  <c r="I1057"/>
  <c r="P1050" s="1"/>
  <c r="R1050" s="1"/>
  <c r="K1055"/>
  <c r="I1055"/>
  <c r="I3103" s="1"/>
  <c r="K3103" s="1"/>
  <c r="P1054"/>
  <c r="R1054" s="1"/>
  <c r="P1052"/>
  <c r="R1052" s="1"/>
  <c r="P1048"/>
  <c r="R1048" s="1"/>
  <c r="AG1041"/>
  <c r="AG1040"/>
  <c r="AG1039"/>
  <c r="AG1038"/>
  <c r="AG1037"/>
  <c r="AG1036"/>
  <c r="AG1034"/>
  <c r="AG1033"/>
  <c r="AG1032"/>
  <c r="AG1031"/>
  <c r="AG1030"/>
  <c r="AG1029"/>
  <c r="AG1028"/>
  <c r="AG1027"/>
  <c r="AG1026"/>
  <c r="AG1025"/>
  <c r="I1025"/>
  <c r="P1099" s="1"/>
  <c r="AG1024"/>
  <c r="I1024"/>
  <c r="K1024" s="1"/>
  <c r="AG1023"/>
  <c r="I1023"/>
  <c r="P1097" s="1"/>
  <c r="AG1022"/>
  <c r="K1022"/>
  <c r="I1022"/>
  <c r="P1096" s="1"/>
  <c r="AG1021"/>
  <c r="I1021"/>
  <c r="P1095" s="1"/>
  <c r="P1116" s="1"/>
  <c r="R1116" s="1"/>
  <c r="AG1020"/>
  <c r="K1020"/>
  <c r="I1020"/>
  <c r="P1094" s="1"/>
  <c r="P1398" s="1"/>
  <c r="AG1019"/>
  <c r="AG1018"/>
  <c r="AG1017"/>
  <c r="AG1016"/>
  <c r="AG1015"/>
  <c r="AG1014"/>
  <c r="AG1013"/>
  <c r="AG1012"/>
  <c r="AG1011"/>
  <c r="AG1010"/>
  <c r="AG1009"/>
  <c r="AG1008"/>
  <c r="AG1007"/>
  <c r="AG1006"/>
  <c r="AG1004"/>
  <c r="AG1003"/>
  <c r="AG1002"/>
  <c r="AG1001"/>
  <c r="AG1000"/>
  <c r="AG999"/>
  <c r="AG998"/>
  <c r="AG997"/>
  <c r="AG996"/>
  <c r="P996"/>
  <c r="R996" s="1"/>
  <c r="I996"/>
  <c r="K996" s="1"/>
  <c r="AG995"/>
  <c r="P995"/>
  <c r="R995" s="1"/>
  <c r="I995"/>
  <c r="I2841" s="1"/>
  <c r="AG994"/>
  <c r="P994"/>
  <c r="R994" s="1"/>
  <c r="I994"/>
  <c r="I2840" s="1"/>
  <c r="AG993"/>
  <c r="P993"/>
  <c r="R993" s="1"/>
  <c r="I993"/>
  <c r="I2839" s="1"/>
  <c r="AG992"/>
  <c r="K992"/>
  <c r="I992"/>
  <c r="I2838" s="1"/>
  <c r="AG991"/>
  <c r="I991"/>
  <c r="I2837" s="1"/>
  <c r="AG990"/>
  <c r="I990"/>
  <c r="I2836" s="1"/>
  <c r="AG989"/>
  <c r="AG988"/>
  <c r="AG987"/>
  <c r="AG986"/>
  <c r="AG985"/>
  <c r="AG984"/>
  <c r="AG983"/>
  <c r="AG982"/>
  <c r="AG981"/>
  <c r="AG980"/>
  <c r="AG979"/>
  <c r="AG978"/>
  <c r="AG977"/>
  <c r="AG976"/>
  <c r="AG975"/>
  <c r="AG974"/>
  <c r="AG973"/>
  <c r="AG972"/>
  <c r="AG971"/>
  <c r="AG970"/>
  <c r="AG969"/>
  <c r="AG968"/>
  <c r="AG967"/>
  <c r="AG966"/>
  <c r="AG965"/>
  <c r="AG964"/>
  <c r="AG963"/>
  <c r="AG962"/>
  <c r="AG961"/>
  <c r="K961"/>
  <c r="AG960"/>
  <c r="K960"/>
  <c r="I960"/>
  <c r="AG959"/>
  <c r="I959"/>
  <c r="K959" s="1"/>
  <c r="AG958"/>
  <c r="I958"/>
  <c r="K958" s="1"/>
  <c r="AG957"/>
  <c r="K957"/>
  <c r="I957"/>
  <c r="AG956"/>
  <c r="I956"/>
  <c r="K956" s="1"/>
  <c r="AG955"/>
  <c r="I955"/>
  <c r="K955" s="1"/>
  <c r="AG954"/>
  <c r="AG953"/>
  <c r="P953"/>
  <c r="P1055" s="1"/>
  <c r="R1055" s="1"/>
  <c r="AG952"/>
  <c r="AG951"/>
  <c r="P951"/>
  <c r="R951" s="1"/>
  <c r="AG950"/>
  <c r="P950"/>
  <c r="R950" s="1"/>
  <c r="AG949"/>
  <c r="P949"/>
  <c r="R949" s="1"/>
  <c r="AG948"/>
  <c r="P948"/>
  <c r="R948" s="1"/>
  <c r="AG947"/>
  <c r="AG946"/>
  <c r="AG945"/>
  <c r="AG944"/>
  <c r="AG943"/>
  <c r="AG942"/>
  <c r="AG941"/>
  <c r="AG940"/>
  <c r="AG939"/>
  <c r="AG938"/>
  <c r="AG937"/>
  <c r="AG936"/>
  <c r="AG935"/>
  <c r="AG934"/>
  <c r="AG933"/>
  <c r="AG932"/>
  <c r="AG931"/>
  <c r="AG930"/>
  <c r="AG929"/>
  <c r="AG928"/>
  <c r="AG927"/>
  <c r="AG926"/>
  <c r="AG925"/>
  <c r="AG924"/>
  <c r="AG923"/>
  <c r="AG922"/>
  <c r="AG921"/>
  <c r="AG920"/>
  <c r="AG919"/>
  <c r="AG918"/>
  <c r="AG917"/>
  <c r="AG916"/>
  <c r="AG915"/>
  <c r="AG914"/>
  <c r="AG913"/>
  <c r="AG912"/>
  <c r="AG911"/>
  <c r="AG910"/>
  <c r="AG909"/>
  <c r="AG908"/>
  <c r="AG907"/>
  <c r="AG906"/>
  <c r="AG905"/>
  <c r="AG904"/>
  <c r="R904"/>
  <c r="AG903"/>
  <c r="R903"/>
  <c r="AG902"/>
  <c r="R902"/>
  <c r="AG901"/>
  <c r="K901"/>
  <c r="H901"/>
  <c r="AG900"/>
  <c r="AG899"/>
  <c r="AG898"/>
  <c r="AG897"/>
  <c r="H897"/>
  <c r="AG896"/>
  <c r="AG895"/>
  <c r="AG894"/>
  <c r="AG893"/>
  <c r="AG892"/>
  <c r="AG891"/>
  <c r="AG890"/>
  <c r="AG889"/>
  <c r="AG888"/>
  <c r="AG887"/>
  <c r="AG886"/>
  <c r="AG885"/>
  <c r="V885"/>
  <c r="X885" s="1"/>
  <c r="K885"/>
  <c r="AG884"/>
  <c r="AG883"/>
  <c r="AG882"/>
  <c r="I882"/>
  <c r="V882" s="1"/>
  <c r="AG881"/>
  <c r="K881"/>
  <c r="I881"/>
  <c r="V881" s="1"/>
  <c r="AG880"/>
  <c r="V880"/>
  <c r="V896" s="1"/>
  <c r="X896" s="1"/>
  <c r="R880"/>
  <c r="K880"/>
  <c r="I880"/>
  <c r="I896" s="1"/>
  <c r="K896" s="1"/>
  <c r="AG879"/>
  <c r="R879"/>
  <c r="I879"/>
  <c r="I895" s="1"/>
  <c r="K895" s="1"/>
  <c r="AG878"/>
  <c r="R878"/>
  <c r="AG877"/>
  <c r="R877"/>
  <c r="AG876"/>
  <c r="R876"/>
  <c r="AG875"/>
  <c r="R875"/>
  <c r="AG874"/>
  <c r="P874"/>
  <c r="R874" s="1"/>
  <c r="AG873"/>
  <c r="AG872"/>
  <c r="AG871"/>
  <c r="AG870"/>
  <c r="AG869"/>
  <c r="AG868"/>
  <c r="AG867"/>
  <c r="V867"/>
  <c r="X867" s="1"/>
  <c r="K867"/>
  <c r="AG866"/>
  <c r="AG865"/>
  <c r="AG864"/>
  <c r="X864"/>
  <c r="V864"/>
  <c r="K864"/>
  <c r="AG863"/>
  <c r="V863"/>
  <c r="X863" s="1"/>
  <c r="K863"/>
  <c r="AG862"/>
  <c r="V862"/>
  <c r="X862" s="1"/>
  <c r="P862"/>
  <c r="K862"/>
  <c r="AG861"/>
  <c r="V861"/>
  <c r="X861" s="1"/>
  <c r="K861"/>
  <c r="AG860"/>
  <c r="P860"/>
  <c r="R860" s="1"/>
  <c r="AG859"/>
  <c r="AG858"/>
  <c r="AG857"/>
  <c r="P857"/>
  <c r="R857" s="1"/>
  <c r="AG856"/>
  <c r="R856"/>
  <c r="P856"/>
  <c r="AG855"/>
  <c r="P855"/>
  <c r="R855" s="1"/>
  <c r="AG854"/>
  <c r="R854"/>
  <c r="P854"/>
  <c r="AG853"/>
  <c r="AG852"/>
  <c r="AG851"/>
  <c r="AG850"/>
  <c r="AG849"/>
  <c r="AG848"/>
  <c r="AG847"/>
  <c r="AG846"/>
  <c r="AG845"/>
  <c r="AG844"/>
  <c r="R844"/>
  <c r="AG843"/>
  <c r="R843"/>
  <c r="AG842"/>
  <c r="R842"/>
  <c r="AG841"/>
  <c r="R841"/>
  <c r="AG840"/>
  <c r="R840"/>
  <c r="AG839"/>
  <c r="R839"/>
  <c r="AG838"/>
  <c r="P838"/>
  <c r="R838" s="1"/>
  <c r="AG837"/>
  <c r="AG827"/>
  <c r="AG826"/>
  <c r="AG825"/>
  <c r="V825"/>
  <c r="AG824"/>
  <c r="V824"/>
  <c r="AG823"/>
  <c r="V823"/>
  <c r="AG822"/>
  <c r="AG821"/>
  <c r="AG820"/>
  <c r="AG819"/>
  <c r="W819"/>
  <c r="AG818"/>
  <c r="AG817"/>
  <c r="R817"/>
  <c r="AG816"/>
  <c r="R816"/>
  <c r="AG815"/>
  <c r="R815"/>
  <c r="AG814"/>
  <c r="R814"/>
  <c r="AG813"/>
  <c r="R813"/>
  <c r="AG812"/>
  <c r="R812"/>
  <c r="AG811"/>
  <c r="P811"/>
  <c r="R811" s="1"/>
  <c r="AG810"/>
  <c r="AG809"/>
  <c r="AG808"/>
  <c r="R808"/>
  <c r="R820" s="1"/>
  <c r="P808"/>
  <c r="P826" s="1"/>
  <c r="AG807"/>
  <c r="AG806"/>
  <c r="AG805"/>
  <c r="AG804"/>
  <c r="W804"/>
  <c r="AG803"/>
  <c r="AG802"/>
  <c r="AG801"/>
  <c r="AG800"/>
  <c r="AG799"/>
  <c r="AG798"/>
  <c r="AG797"/>
  <c r="AG796"/>
  <c r="AG795"/>
  <c r="AG794"/>
  <c r="AG793"/>
  <c r="AG792"/>
  <c r="P792"/>
  <c r="R792" s="1"/>
  <c r="AG791"/>
  <c r="AG790"/>
  <c r="AG789"/>
  <c r="K789"/>
  <c r="AG788"/>
  <c r="K788"/>
  <c r="AG787"/>
  <c r="I787"/>
  <c r="K787" s="1"/>
  <c r="AG786"/>
  <c r="AG785"/>
  <c r="AG784"/>
  <c r="A784"/>
  <c r="AG783"/>
  <c r="R783"/>
  <c r="I783"/>
  <c r="K783" s="1"/>
  <c r="AG782"/>
  <c r="AG781"/>
  <c r="AG780"/>
  <c r="AG779"/>
  <c r="AG778"/>
  <c r="AG777"/>
  <c r="AG776"/>
  <c r="AG775"/>
  <c r="R775"/>
  <c r="AG774"/>
  <c r="AG773"/>
  <c r="AG772"/>
  <c r="AG771"/>
  <c r="AG770"/>
  <c r="R770"/>
  <c r="AG769"/>
  <c r="AG768"/>
  <c r="AG767"/>
  <c r="AG766"/>
  <c r="K766"/>
  <c r="AG765"/>
  <c r="K765"/>
  <c r="AG764"/>
  <c r="AG763"/>
  <c r="AG762"/>
  <c r="AG761"/>
  <c r="K761"/>
  <c r="AG760"/>
  <c r="I760"/>
  <c r="K760" s="1"/>
  <c r="AG759"/>
  <c r="I759"/>
  <c r="K759" s="1"/>
  <c r="I780" s="1"/>
  <c r="K780" s="1"/>
  <c r="AG758"/>
  <c r="AG757"/>
  <c r="AG756"/>
  <c r="P756"/>
  <c r="R756" s="1"/>
  <c r="AG755"/>
  <c r="R755"/>
  <c r="P755"/>
  <c r="AG754"/>
  <c r="P754"/>
  <c r="R754" s="1"/>
  <c r="AG753"/>
  <c r="P753"/>
  <c r="R753" s="1"/>
  <c r="AG752"/>
  <c r="AG751"/>
  <c r="P751"/>
  <c r="R751" s="1"/>
  <c r="AG750"/>
  <c r="AG749"/>
  <c r="AG748"/>
  <c r="AG747"/>
  <c r="AG746"/>
  <c r="AG745"/>
  <c r="I745"/>
  <c r="K745" s="1"/>
  <c r="AG744"/>
  <c r="AG743"/>
  <c r="I743"/>
  <c r="I1784" s="1"/>
  <c r="K1784" s="1"/>
  <c r="AG742"/>
  <c r="AG741"/>
  <c r="AG740"/>
  <c r="P740"/>
  <c r="R740" s="1"/>
  <c r="AG739"/>
  <c r="P739"/>
  <c r="R739" s="1"/>
  <c r="AG738"/>
  <c r="P738"/>
  <c r="R738" s="1"/>
  <c r="AG737"/>
  <c r="P737"/>
  <c r="R737" s="1"/>
  <c r="AG736"/>
  <c r="AG735"/>
  <c r="P735"/>
  <c r="R735" s="1"/>
  <c r="AG734"/>
  <c r="AG733"/>
  <c r="AG732"/>
  <c r="AG731"/>
  <c r="AG730"/>
  <c r="AG729"/>
  <c r="AG728"/>
  <c r="AG727"/>
  <c r="AG726"/>
  <c r="AG725"/>
  <c r="P725"/>
  <c r="R725" s="1"/>
  <c r="AG724"/>
  <c r="P724"/>
  <c r="R724" s="1"/>
  <c r="AG723"/>
  <c r="R723"/>
  <c r="P723"/>
  <c r="AG722"/>
  <c r="P722"/>
  <c r="R722" s="1"/>
  <c r="AG721"/>
  <c r="AG720"/>
  <c r="P720"/>
  <c r="R720" s="1"/>
  <c r="I720"/>
  <c r="K720" s="1"/>
  <c r="AG719"/>
  <c r="AG718"/>
  <c r="I718"/>
  <c r="K718" s="1"/>
  <c r="AG717"/>
  <c r="V717"/>
  <c r="I717"/>
  <c r="K717" s="1"/>
  <c r="AG716"/>
  <c r="V716"/>
  <c r="AG715"/>
  <c r="AG714"/>
  <c r="V714"/>
  <c r="AG713"/>
  <c r="V713"/>
  <c r="AG712"/>
  <c r="AG711"/>
  <c r="AG710"/>
  <c r="W710"/>
  <c r="AG709"/>
  <c r="V709"/>
  <c r="S709"/>
  <c r="P709"/>
  <c r="R709" s="1"/>
  <c r="R713" s="1"/>
  <c r="AG708"/>
  <c r="AG707"/>
  <c r="AG706"/>
  <c r="AG705"/>
  <c r="AG704"/>
  <c r="AG703"/>
  <c r="AG702"/>
  <c r="AG701"/>
  <c r="K701"/>
  <c r="AG700"/>
  <c r="I700"/>
  <c r="K700" s="1"/>
  <c r="AG699"/>
  <c r="I699"/>
  <c r="K699" s="1"/>
  <c r="AG698"/>
  <c r="P698"/>
  <c r="R698" s="1"/>
  <c r="R702" s="1"/>
  <c r="AG697"/>
  <c r="AG696"/>
  <c r="AG695"/>
  <c r="AG694"/>
  <c r="AG693"/>
  <c r="AG692"/>
  <c r="AH691"/>
  <c r="AG691"/>
  <c r="AG690"/>
  <c r="AH689"/>
  <c r="AG689"/>
  <c r="AG688"/>
  <c r="P688"/>
  <c r="R688" s="1"/>
  <c r="R692" s="1"/>
  <c r="AG687"/>
  <c r="AG686"/>
  <c r="AG685"/>
  <c r="AE685"/>
  <c r="AG684"/>
  <c r="AE684"/>
  <c r="AG683"/>
  <c r="AC683"/>
  <c r="AG682"/>
  <c r="K682"/>
  <c r="AG681"/>
  <c r="AG828" s="1"/>
  <c r="I681"/>
  <c r="K681" s="1"/>
  <c r="AG680"/>
  <c r="I680"/>
  <c r="K680" s="1"/>
  <c r="K684" s="1"/>
  <c r="I686" s="1"/>
  <c r="AG679"/>
  <c r="X679"/>
  <c r="V679"/>
  <c r="AG678"/>
  <c r="P678"/>
  <c r="R678" s="1"/>
  <c r="R682" s="1"/>
  <c r="AG677"/>
  <c r="AG676"/>
  <c r="AG675"/>
  <c r="AG674"/>
  <c r="AG673"/>
  <c r="P660"/>
  <c r="R660" s="1"/>
  <c r="P659"/>
  <c r="R659" s="1"/>
  <c r="P658"/>
  <c r="R658" s="1"/>
  <c r="AF648"/>
  <c r="AH648" s="1"/>
  <c r="X648"/>
  <c r="P642"/>
  <c r="R642" s="1"/>
  <c r="AG637"/>
  <c r="AG636"/>
  <c r="AG635"/>
  <c r="AG634"/>
  <c r="AG633"/>
  <c r="AG632"/>
  <c r="AG631"/>
  <c r="AG630"/>
  <c r="AG629"/>
  <c r="P629"/>
  <c r="R629" s="1"/>
  <c r="AG628"/>
  <c r="AG627"/>
  <c r="AG626"/>
  <c r="AG625"/>
  <c r="AG624"/>
  <c r="AG623"/>
  <c r="AG622"/>
  <c r="AG621"/>
  <c r="AG620"/>
  <c r="AG619"/>
  <c r="I619"/>
  <c r="K619" s="1"/>
  <c r="AG618"/>
  <c r="AG617"/>
  <c r="AG616"/>
  <c r="AG615"/>
  <c r="C615"/>
  <c r="AG614"/>
  <c r="AG613"/>
  <c r="AG612"/>
  <c r="AG611"/>
  <c r="AG610"/>
  <c r="AG609"/>
  <c r="AG608"/>
  <c r="E608"/>
  <c r="E609" s="1"/>
  <c r="AG607"/>
  <c r="AG606"/>
  <c r="AG605"/>
  <c r="AG604"/>
  <c r="K604"/>
  <c r="I604"/>
  <c r="AG603"/>
  <c r="AG602"/>
  <c r="E602"/>
  <c r="AG601"/>
  <c r="AG600"/>
  <c r="AG599"/>
  <c r="AG598"/>
  <c r="AG597"/>
  <c r="AG596"/>
  <c r="AG595"/>
  <c r="AG594"/>
  <c r="AG593"/>
  <c r="AG592"/>
  <c r="AG591"/>
  <c r="AG590"/>
  <c r="AG589"/>
  <c r="AG588"/>
  <c r="AG587"/>
  <c r="AG586"/>
  <c r="AG585"/>
  <c r="V585"/>
  <c r="P585"/>
  <c r="R585" s="1"/>
  <c r="AG584"/>
  <c r="P584"/>
  <c r="R584" s="1"/>
  <c r="AG583"/>
  <c r="P583"/>
  <c r="R583" s="1"/>
  <c r="AG582"/>
  <c r="V582"/>
  <c r="X582" s="1"/>
  <c r="I582"/>
  <c r="K582" s="1"/>
  <c r="AG581"/>
  <c r="AG580"/>
  <c r="AG579"/>
  <c r="AG578"/>
  <c r="P578"/>
  <c r="R578" s="1"/>
  <c r="AG577"/>
  <c r="AG576"/>
  <c r="AG575"/>
  <c r="AG574"/>
  <c r="AG573"/>
  <c r="AG572"/>
  <c r="AE572"/>
  <c r="AF572" s="1"/>
  <c r="AD572"/>
  <c r="AE566"/>
  <c r="AG564"/>
  <c r="AG563"/>
  <c r="AG562"/>
  <c r="M562"/>
  <c r="AG561"/>
  <c r="M561"/>
  <c r="AG560"/>
  <c r="M560"/>
  <c r="M563" s="1"/>
  <c r="AG559"/>
  <c r="M559"/>
  <c r="AG558"/>
  <c r="AG557"/>
  <c r="AG556"/>
  <c r="AG555"/>
  <c r="V555"/>
  <c r="AG554"/>
  <c r="AG553"/>
  <c r="R553"/>
  <c r="E553"/>
  <c r="AG552"/>
  <c r="AG551"/>
  <c r="AG550"/>
  <c r="AG549"/>
  <c r="AE549"/>
  <c r="W549"/>
  <c r="AG548"/>
  <c r="W548"/>
  <c r="AE548" s="1"/>
  <c r="P548"/>
  <c r="R548" s="1"/>
  <c r="AG539"/>
  <c r="R539"/>
  <c r="P539"/>
  <c r="AG538"/>
  <c r="AG537"/>
  <c r="R537"/>
  <c r="P537"/>
  <c r="AG536"/>
  <c r="AG535"/>
  <c r="AG534"/>
  <c r="AG533"/>
  <c r="AG532"/>
  <c r="AG531"/>
  <c r="AD531"/>
  <c r="AD555" s="1"/>
  <c r="AG530"/>
  <c r="AG529"/>
  <c r="AG528"/>
  <c r="AG527"/>
  <c r="AG526"/>
  <c r="AG525"/>
  <c r="R525"/>
  <c r="AG524"/>
  <c r="AG523"/>
  <c r="AG522"/>
  <c r="AG521"/>
  <c r="AG520"/>
  <c r="P520"/>
  <c r="R520" s="1"/>
  <c r="AG519"/>
  <c r="P519"/>
  <c r="R519" s="1"/>
  <c r="AG518"/>
  <c r="AG517"/>
  <c r="P517"/>
  <c r="R517" s="1"/>
  <c r="AG516"/>
  <c r="AG515"/>
  <c r="AG514"/>
  <c r="AG513"/>
  <c r="AG512"/>
  <c r="AG511"/>
  <c r="AG510"/>
  <c r="AG509"/>
  <c r="AG508"/>
  <c r="AG507"/>
  <c r="R507"/>
  <c r="AG506"/>
  <c r="AG505"/>
  <c r="AG504"/>
  <c r="AG503"/>
  <c r="AG502"/>
  <c r="P502"/>
  <c r="R502" s="1"/>
  <c r="AG501"/>
  <c r="P501"/>
  <c r="R501" s="1"/>
  <c r="AG500"/>
  <c r="AG499"/>
  <c r="P499"/>
  <c r="R499" s="1"/>
  <c r="AG498"/>
  <c r="AG497"/>
  <c r="AG496"/>
  <c r="AG495"/>
  <c r="AG494"/>
  <c r="AG493"/>
  <c r="AG492"/>
  <c r="I492"/>
  <c r="K492" s="1"/>
  <c r="AG491"/>
  <c r="AE491"/>
  <c r="AG490"/>
  <c r="AG489"/>
  <c r="AG488"/>
  <c r="AG487"/>
  <c r="AG486"/>
  <c r="AG485"/>
  <c r="AG484"/>
  <c r="P484"/>
  <c r="R484" s="1"/>
  <c r="AG483"/>
  <c r="P483"/>
  <c r="R483" s="1"/>
  <c r="AG482"/>
  <c r="P482"/>
  <c r="R482" s="1"/>
  <c r="AG481"/>
  <c r="AG480"/>
  <c r="AD480"/>
  <c r="AG479"/>
  <c r="AG471"/>
  <c r="AG470"/>
  <c r="P470"/>
  <c r="R470" s="1"/>
  <c r="AG469"/>
  <c r="AG468"/>
  <c r="AG467"/>
  <c r="AG466"/>
  <c r="AG465"/>
  <c r="AG464"/>
  <c r="P459"/>
  <c r="R459" s="1"/>
  <c r="P458"/>
  <c r="R458" s="1"/>
  <c r="P457"/>
  <c r="R457" s="1"/>
  <c r="AL452"/>
  <c r="R452"/>
  <c r="P452"/>
  <c r="P441"/>
  <c r="R441" s="1"/>
  <c r="P440"/>
  <c r="R440" s="1"/>
  <c r="P439"/>
  <c r="R439" s="1"/>
  <c r="P433"/>
  <c r="R433" s="1"/>
  <c r="AD432"/>
  <c r="AD431"/>
  <c r="AD430"/>
  <c r="AD429"/>
  <c r="AD428"/>
  <c r="AD424"/>
  <c r="AF422"/>
  <c r="X416"/>
  <c r="F411"/>
  <c r="H410"/>
  <c r="F410"/>
  <c r="H408"/>
  <c r="AF388"/>
  <c r="AD388"/>
  <c r="AF386"/>
  <c r="H379"/>
  <c r="F379"/>
  <c r="H377"/>
  <c r="P367"/>
  <c r="R367" s="1"/>
  <c r="AF364"/>
  <c r="H355"/>
  <c r="X341"/>
  <c r="AD336"/>
  <c r="F336"/>
  <c r="AF335"/>
  <c r="AD335"/>
  <c r="H335"/>
  <c r="F335"/>
  <c r="AF333"/>
  <c r="AF362" s="1"/>
  <c r="H333"/>
  <c r="H353" s="1"/>
  <c r="AF311"/>
  <c r="AF424" s="1"/>
  <c r="H311"/>
  <c r="AF278"/>
  <c r="AE278"/>
  <c r="AF277"/>
  <c r="AE277"/>
  <c r="AF276"/>
  <c r="AE276"/>
  <c r="AF275"/>
  <c r="AF280" s="1"/>
  <c r="AE275"/>
  <c r="AF274"/>
  <c r="AE274"/>
  <c r="K257"/>
  <c r="I256"/>
  <c r="K256" s="1"/>
  <c r="K245"/>
  <c r="I241"/>
  <c r="K241" s="1"/>
  <c r="P219"/>
  <c r="R219" s="1"/>
  <c r="P218"/>
  <c r="R218" s="1"/>
  <c r="AW217"/>
  <c r="AX217" s="1"/>
  <c r="P217"/>
  <c r="R217" s="1"/>
  <c r="AW216"/>
  <c r="AX216" s="1"/>
  <c r="R216"/>
  <c r="P216"/>
  <c r="AW215"/>
  <c r="AX215" s="1"/>
  <c r="P215"/>
  <c r="R215" s="1"/>
  <c r="AW214"/>
  <c r="AX214" s="1"/>
  <c r="R214"/>
  <c r="P214"/>
  <c r="AX213"/>
  <c r="AW213"/>
  <c r="AW212"/>
  <c r="AX212" s="1"/>
  <c r="R212"/>
  <c r="P212"/>
  <c r="AX211"/>
  <c r="AW211"/>
  <c r="AX210"/>
  <c r="AW210"/>
  <c r="AX209"/>
  <c r="AW209"/>
  <c r="AX208"/>
  <c r="AW208"/>
  <c r="AW207"/>
  <c r="AX207" s="1"/>
  <c r="AW206"/>
  <c r="AX206" s="1"/>
  <c r="AW205"/>
  <c r="AX205" s="1"/>
  <c r="AW204"/>
  <c r="AX204" s="1"/>
  <c r="AX203"/>
  <c r="AW203"/>
  <c r="AW202"/>
  <c r="AX202" s="1"/>
  <c r="AW201"/>
  <c r="AX201" s="1"/>
  <c r="AX200"/>
  <c r="AW200"/>
  <c r="AX199"/>
  <c r="AW199"/>
  <c r="AX198"/>
  <c r="AW198"/>
  <c r="AW197"/>
  <c r="AX197" s="1"/>
  <c r="AW196"/>
  <c r="AX196" s="1"/>
  <c r="AW195"/>
  <c r="AX195" s="1"/>
  <c r="AW194"/>
  <c r="AX194" s="1"/>
  <c r="AW193"/>
  <c r="AX193" s="1"/>
  <c r="AX192"/>
  <c r="AW192"/>
  <c r="AW186"/>
  <c r="AX186" s="1"/>
  <c r="I186"/>
  <c r="K186" s="1"/>
  <c r="I185"/>
  <c r="K185" s="1"/>
  <c r="AW184"/>
  <c r="AX184" s="1"/>
  <c r="AW182"/>
  <c r="AX182" s="1"/>
  <c r="AX181"/>
  <c r="AW181"/>
  <c r="AX178"/>
  <c r="AW178"/>
  <c r="AW177"/>
  <c r="AX177" s="1"/>
  <c r="AW176"/>
  <c r="AX176" s="1"/>
  <c r="AW175"/>
  <c r="AX175" s="1"/>
  <c r="AW174"/>
  <c r="AX174" s="1"/>
  <c r="AW172"/>
  <c r="AX172" s="1"/>
  <c r="AW170"/>
  <c r="AX170" s="1"/>
  <c r="AW169"/>
  <c r="AX169" s="1"/>
  <c r="AP164"/>
  <c r="AR163"/>
  <c r="AP163"/>
  <c r="AW162"/>
  <c r="AX162" s="1"/>
  <c r="AW161"/>
  <c r="AX161" s="1"/>
  <c r="AR161"/>
  <c r="AW160"/>
  <c r="AX160" s="1"/>
  <c r="I157"/>
  <c r="K157" s="1"/>
  <c r="I155"/>
  <c r="K155" s="1"/>
  <c r="AW154"/>
  <c r="AX154" s="1"/>
  <c r="I153"/>
  <c r="K153" s="1"/>
  <c r="AW152"/>
  <c r="AX152" s="1"/>
  <c r="AX150"/>
  <c r="AW150"/>
  <c r="AX149"/>
  <c r="AW149"/>
  <c r="AX146"/>
  <c r="AW146"/>
  <c r="AX145"/>
  <c r="AW145"/>
  <c r="AW144"/>
  <c r="AX144" s="1"/>
  <c r="AW143"/>
  <c r="AX143" s="1"/>
  <c r="AW141"/>
  <c r="AX141" s="1"/>
  <c r="AW139"/>
  <c r="AX139" s="1"/>
  <c r="AW138"/>
  <c r="AX138" s="1"/>
  <c r="AR132"/>
  <c r="AP132"/>
  <c r="AR130"/>
  <c r="AW118"/>
  <c r="AX118" s="1"/>
  <c r="AX116"/>
  <c r="AW116"/>
  <c r="M116"/>
  <c r="M133" s="1"/>
  <c r="AW114"/>
  <c r="AX114" s="1"/>
  <c r="AW113"/>
  <c r="AX113" s="1"/>
  <c r="AR107"/>
  <c r="M101"/>
  <c r="AP88"/>
  <c r="AR87"/>
  <c r="AP87"/>
  <c r="AR85"/>
  <c r="AR105" s="1"/>
  <c r="AR63"/>
  <c r="AG48"/>
  <c r="AN47"/>
  <c r="AM47"/>
  <c r="AL47"/>
  <c r="AK47"/>
  <c r="AJ47"/>
  <c r="AI47"/>
  <c r="Z47"/>
  <c r="AH46"/>
  <c r="AJ46" s="1"/>
  <c r="X46"/>
  <c r="X47" s="1"/>
  <c r="AN45"/>
  <c r="AG45" s="1"/>
  <c r="C23" s="1"/>
  <c r="AM45"/>
  <c r="AK45"/>
  <c r="AJ45"/>
  <c r="AI45"/>
  <c r="X45"/>
  <c r="AN44"/>
  <c r="AG44" s="1"/>
  <c r="C22" s="1"/>
  <c r="AM44"/>
  <c r="AL44"/>
  <c r="AK44"/>
  <c r="AJ44"/>
  <c r="AI44"/>
  <c r="AM43"/>
  <c r="AK43"/>
  <c r="AI43"/>
  <c r="AH43"/>
  <c r="AN43" s="1"/>
  <c r="AG43" s="1"/>
  <c r="C21" s="1"/>
  <c r="AH450" s="1"/>
  <c r="AH451" s="1"/>
  <c r="AH452" s="1"/>
  <c r="AH453" s="1"/>
  <c r="AH454" s="1"/>
  <c r="AH455" s="1"/>
  <c r="AH456" s="1"/>
  <c r="AH457" s="1"/>
  <c r="AH458" s="1"/>
  <c r="AH459" s="1"/>
  <c r="AH460" s="1"/>
  <c r="AH461" s="1"/>
  <c r="AH462" s="1"/>
  <c r="AH463" s="1"/>
  <c r="X43"/>
  <c r="AN42"/>
  <c r="AG42" s="1"/>
  <c r="AM42"/>
  <c r="AL42"/>
  <c r="AK42"/>
  <c r="AJ42"/>
  <c r="AI42"/>
  <c r="W42"/>
  <c r="AN41"/>
  <c r="AG41" s="1"/>
  <c r="C19" s="1"/>
  <c r="W434" s="1"/>
  <c r="AM41"/>
  <c r="AL41"/>
  <c r="AK41"/>
  <c r="AJ41"/>
  <c r="AI41"/>
  <c r="X41"/>
  <c r="X42" s="1"/>
  <c r="W41"/>
  <c r="AN40"/>
  <c r="AE40"/>
  <c r="AN39"/>
  <c r="AG39" s="1"/>
  <c r="V81" s="1"/>
  <c r="AM39"/>
  <c r="AL39"/>
  <c r="AK39"/>
  <c r="AJ39"/>
  <c r="AI39"/>
  <c r="X39"/>
  <c r="AN38"/>
  <c r="AG38" s="1"/>
  <c r="AM38"/>
  <c r="AL38"/>
  <c r="AK38"/>
  <c r="AJ38"/>
  <c r="AI38"/>
  <c r="X38"/>
  <c r="AN37"/>
  <c r="AG37" s="1"/>
  <c r="AM37"/>
  <c r="AL37"/>
  <c r="AK37"/>
  <c r="AJ37"/>
  <c r="AI37"/>
  <c r="AN36"/>
  <c r="AG36" s="1"/>
  <c r="D61" s="1"/>
  <c r="I95" s="1"/>
  <c r="K95" s="1"/>
  <c r="AM36"/>
  <c r="AL36"/>
  <c r="AK36"/>
  <c r="AJ36"/>
  <c r="AI36"/>
  <c r="AN35"/>
  <c r="AG35" s="1"/>
  <c r="D33" s="1"/>
  <c r="I2249" s="1"/>
  <c r="K2249" s="1"/>
  <c r="AM35"/>
  <c r="AL35"/>
  <c r="AK35"/>
  <c r="AJ35"/>
  <c r="AI35"/>
  <c r="AN34"/>
  <c r="AM34"/>
  <c r="AL34"/>
  <c r="AK34"/>
  <c r="AJ34"/>
  <c r="AI34"/>
  <c r="AG34"/>
  <c r="D32" s="1"/>
  <c r="I1104" s="1"/>
  <c r="K1104" s="1"/>
  <c r="Z34"/>
  <c r="X34"/>
  <c r="W34"/>
  <c r="D34"/>
  <c r="AN33"/>
  <c r="AM33"/>
  <c r="AL33"/>
  <c r="AK33"/>
  <c r="AJ33"/>
  <c r="AI33"/>
  <c r="AG33"/>
  <c r="I2664" s="1"/>
  <c r="Z33"/>
  <c r="AN32"/>
  <c r="AM32"/>
  <c r="AL32"/>
  <c r="AK32"/>
  <c r="AJ32"/>
  <c r="AI32"/>
  <c r="AG32"/>
  <c r="V3116" s="1"/>
  <c r="X32"/>
  <c r="X33" s="1"/>
  <c r="AN31"/>
  <c r="AG31" s="1"/>
  <c r="D30" s="1"/>
  <c r="P213" s="1"/>
  <c r="R213" s="1"/>
  <c r="AM31"/>
  <c r="AL31"/>
  <c r="AK31"/>
  <c r="AJ31"/>
  <c r="AI31"/>
  <c r="X31"/>
  <c r="AN30"/>
  <c r="AG30" s="1"/>
  <c r="AM30"/>
  <c r="AL30"/>
  <c r="AK30"/>
  <c r="AJ30"/>
  <c r="AI30"/>
  <c r="AE30"/>
  <c r="C137" s="1"/>
  <c r="I1218" s="1"/>
  <c r="K1218" s="1"/>
  <c r="AN29"/>
  <c r="AM29"/>
  <c r="AL29"/>
  <c r="AK29"/>
  <c r="AJ29"/>
  <c r="AI29"/>
  <c r="AG29"/>
  <c r="C61" s="1"/>
  <c r="W29"/>
  <c r="E29"/>
  <c r="AN28"/>
  <c r="AM28"/>
  <c r="AL28"/>
  <c r="AK28"/>
  <c r="AJ28"/>
  <c r="AI28"/>
  <c r="AG28"/>
  <c r="AN27"/>
  <c r="AG27" s="1"/>
  <c r="AM27"/>
  <c r="AL27"/>
  <c r="AK27"/>
  <c r="AJ27"/>
  <c r="AI27"/>
  <c r="E27"/>
  <c r="AN26"/>
  <c r="AG26" s="1"/>
  <c r="AM26"/>
  <c r="AL26"/>
  <c r="AK26"/>
  <c r="AJ26"/>
  <c r="AI26"/>
  <c r="E26"/>
  <c r="AN25"/>
  <c r="AG25" s="1"/>
  <c r="C25" s="1"/>
  <c r="AM25"/>
  <c r="AL25"/>
  <c r="AK25"/>
  <c r="AJ25"/>
  <c r="AI25"/>
  <c r="X25"/>
  <c r="X26" s="1"/>
  <c r="X27" s="1"/>
  <c r="X28" s="1"/>
  <c r="AN24"/>
  <c r="AG24" s="1"/>
  <c r="C18" s="1"/>
  <c r="I74" s="1"/>
  <c r="K74" s="1"/>
  <c r="AM24"/>
  <c r="AL24"/>
  <c r="AK24"/>
  <c r="AJ24"/>
  <c r="AI24"/>
  <c r="AN23"/>
  <c r="AG23" s="1"/>
  <c r="C29" s="1"/>
  <c r="I1234" s="1"/>
  <c r="K1234" s="1"/>
  <c r="AM23"/>
  <c r="AL23"/>
  <c r="AK23"/>
  <c r="AJ23"/>
  <c r="AI23"/>
  <c r="AN22"/>
  <c r="AG22" s="1"/>
  <c r="C41" s="1"/>
  <c r="AM22"/>
  <c r="AL22"/>
  <c r="AK22"/>
  <c r="AJ22"/>
  <c r="AI22"/>
  <c r="AE22"/>
  <c r="C84" s="1"/>
  <c r="AN21"/>
  <c r="AG21" s="1"/>
  <c r="I2697" s="1"/>
  <c r="K2697" s="1"/>
  <c r="AM21"/>
  <c r="AL21"/>
  <c r="AK21"/>
  <c r="AJ21"/>
  <c r="AI21"/>
  <c r="X21"/>
  <c r="AN20"/>
  <c r="AG20" s="1"/>
  <c r="AM20"/>
  <c r="AL20"/>
  <c r="AK20"/>
  <c r="AJ20"/>
  <c r="AI20"/>
  <c r="W20"/>
  <c r="C20"/>
  <c r="AN19"/>
  <c r="AG19" s="1"/>
  <c r="AM19"/>
  <c r="AL19"/>
  <c r="AK19"/>
  <c r="AJ19"/>
  <c r="AI19"/>
  <c r="W19"/>
  <c r="AN18"/>
  <c r="AM18"/>
  <c r="AL18"/>
  <c r="AK18"/>
  <c r="AJ18"/>
  <c r="AI18"/>
  <c r="AG18"/>
  <c r="C66" s="1"/>
  <c r="X18"/>
  <c r="X29" s="1"/>
  <c r="AN17"/>
  <c r="AM17"/>
  <c r="AL17"/>
  <c r="AK17"/>
  <c r="AJ17"/>
  <c r="AI17"/>
  <c r="AG17"/>
  <c r="Z17"/>
  <c r="W17"/>
  <c r="D17"/>
  <c r="AN16"/>
  <c r="AG16" s="1"/>
  <c r="AM16"/>
  <c r="AL16"/>
  <c r="AK16"/>
  <c r="AJ16"/>
  <c r="AI16"/>
  <c r="X16"/>
  <c r="X17" s="1"/>
  <c r="AN15"/>
  <c r="AM15"/>
  <c r="AL15"/>
  <c r="AK15"/>
  <c r="AJ15"/>
  <c r="AI15"/>
  <c r="AG15"/>
  <c r="C15" s="1"/>
  <c r="AN14"/>
  <c r="AM14"/>
  <c r="AL14"/>
  <c r="AK14"/>
  <c r="AJ14"/>
  <c r="AI14"/>
  <c r="AG14"/>
  <c r="D14" s="1"/>
  <c r="AN13"/>
  <c r="AG13" s="1"/>
  <c r="AM13"/>
  <c r="AL13"/>
  <c r="AK13"/>
  <c r="AJ13"/>
  <c r="AI13"/>
  <c r="AN12"/>
  <c r="AG12" s="1"/>
  <c r="AM12"/>
  <c r="AL12"/>
  <c r="AK12"/>
  <c r="AJ12"/>
  <c r="AI12"/>
  <c r="AN11"/>
  <c r="AG11" s="1"/>
  <c r="AM11"/>
  <c r="AL11"/>
  <c r="AK11"/>
  <c r="AJ11"/>
  <c r="AI11"/>
  <c r="X11"/>
  <c r="X44" s="1"/>
  <c r="P11"/>
  <c r="R11" s="1"/>
  <c r="A11"/>
  <c r="A12" s="1"/>
  <c r="A13" s="1"/>
  <c r="A14" s="1"/>
  <c r="A15" s="1"/>
  <c r="A16" s="1"/>
  <c r="A17" s="1"/>
  <c r="A18" s="1"/>
  <c r="A19" s="1"/>
  <c r="A20" s="1"/>
  <c r="A21" s="1"/>
  <c r="A22" s="1"/>
  <c r="A23" s="1"/>
  <c r="A24" s="1"/>
  <c r="A25" s="1"/>
  <c r="A26" s="1"/>
  <c r="A27" s="1"/>
  <c r="A28" s="1"/>
  <c r="A29" s="1"/>
  <c r="A30" s="1"/>
  <c r="A31" s="1"/>
  <c r="A32" s="1"/>
  <c r="A33" s="1"/>
  <c r="A34" s="1"/>
  <c r="A35" s="1"/>
  <c r="A38" s="1"/>
  <c r="A39" s="1"/>
  <c r="A40" s="1"/>
  <c r="A41" s="1"/>
  <c r="A42" s="1"/>
  <c r="A43" s="1"/>
  <c r="A44" s="1"/>
  <c r="A45" s="1"/>
  <c r="A46" s="1"/>
  <c r="A47" s="1"/>
  <c r="A48" s="1"/>
  <c r="A49" s="1"/>
  <c r="A50" s="1"/>
  <c r="A51" s="1"/>
  <c r="A52" s="1"/>
  <c r="A53" s="1"/>
  <c r="A54" s="1"/>
  <c r="A55" s="1"/>
  <c r="A56" s="1"/>
  <c r="A57" s="1"/>
  <c r="A58"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137" s="1"/>
  <c r="A138" s="1"/>
  <c r="A139" s="1"/>
  <c r="A140" s="1"/>
  <c r="A141" s="1"/>
  <c r="A142" s="1"/>
  <c r="A143" s="1"/>
  <c r="A145" s="1"/>
  <c r="A147" s="1"/>
  <c r="A148" s="1"/>
  <c r="A192" s="1"/>
  <c r="A193" s="1"/>
  <c r="A194" s="1"/>
  <c r="A195" s="1"/>
  <c r="A196" s="1"/>
  <c r="A197" s="1"/>
  <c r="A198" s="1"/>
  <c r="A199" s="1"/>
  <c r="A200" s="1"/>
  <c r="A201" s="1"/>
  <c r="A202" s="1"/>
  <c r="A203" s="1"/>
  <c r="A204" s="1"/>
  <c r="A205" s="1"/>
  <c r="A206" s="1"/>
  <c r="AN10"/>
  <c r="AG10" s="1"/>
  <c r="AM10"/>
  <c r="AL10"/>
  <c r="AK10"/>
  <c r="AJ10"/>
  <c r="AI10"/>
  <c r="Y10"/>
  <c r="X10"/>
  <c r="W10"/>
  <c r="W11" s="1"/>
  <c r="D10"/>
  <c r="AN9"/>
  <c r="AG9" s="1"/>
  <c r="D11" s="1"/>
  <c r="AM9"/>
  <c r="AL9"/>
  <c r="AK9"/>
  <c r="AJ9"/>
  <c r="AI9"/>
  <c r="Y9"/>
  <c r="Y13" s="1"/>
  <c r="X9"/>
  <c r="W3"/>
  <c r="Q3"/>
  <c r="V3" s="1"/>
  <c r="O3"/>
  <c r="J3"/>
  <c r="H3"/>
  <c r="S2"/>
  <c r="D58" i="4"/>
  <c r="E57"/>
  <c r="E56"/>
  <c r="E55"/>
  <c r="E54"/>
  <c r="E53"/>
  <c r="E58" s="1"/>
  <c r="D50"/>
  <c r="Y16" i="5" s="1"/>
  <c r="Y17" s="1"/>
  <c r="E49" i="4"/>
  <c r="E48"/>
  <c r="E47"/>
  <c r="E46"/>
  <c r="E45"/>
  <c r="E50" s="1"/>
  <c r="AB16" i="5" s="1"/>
  <c r="AB17" s="1"/>
  <c r="P43" i="4"/>
  <c r="D43"/>
  <c r="Q42"/>
  <c r="E42"/>
  <c r="Q41"/>
  <c r="E41"/>
  <c r="Q40"/>
  <c r="E40"/>
  <c r="Q39"/>
  <c r="E39"/>
  <c r="Q38"/>
  <c r="E38"/>
  <c r="P36"/>
  <c r="Y19" i="5" s="1"/>
  <c r="Y20" s="1"/>
  <c r="M36" i="4"/>
  <c r="Y41" i="5" s="1"/>
  <c r="Y42" s="1"/>
  <c r="J36" i="4"/>
  <c r="G36"/>
  <c r="G39" s="1"/>
  <c r="D36"/>
  <c r="B36"/>
  <c r="Q35"/>
  <c r="N35"/>
  <c r="K35"/>
  <c r="H35"/>
  <c r="E35"/>
  <c r="C35"/>
  <c r="Q34"/>
  <c r="N34"/>
  <c r="K34"/>
  <c r="H34"/>
  <c r="E34"/>
  <c r="C34"/>
  <c r="Q33"/>
  <c r="N33"/>
  <c r="K33"/>
  <c r="H33"/>
  <c r="E33"/>
  <c r="C33"/>
  <c r="Q32"/>
  <c r="N32"/>
  <c r="K32"/>
  <c r="H32"/>
  <c r="E32"/>
  <c r="C32"/>
  <c r="C36" s="1"/>
  <c r="Q31"/>
  <c r="Q36" s="1"/>
  <c r="AB19" i="5" s="1"/>
  <c r="N31" i="4"/>
  <c r="N36" s="1"/>
  <c r="AB41" i="5" s="1"/>
  <c r="AB42" s="1"/>
  <c r="K31" i="4"/>
  <c r="H31"/>
  <c r="H36" s="1"/>
  <c r="AB18" i="5" s="1"/>
  <c r="AB29" s="1"/>
  <c r="AB34" s="1"/>
  <c r="E31" i="4"/>
  <c r="E36" s="1"/>
  <c r="AB9" i="5" s="1"/>
  <c r="C31" i="4"/>
  <c r="E25"/>
  <c r="E26" s="1"/>
  <c r="E27" s="1"/>
  <c r="Q24"/>
  <c r="Q25" s="1"/>
  <c r="Q26" s="1"/>
  <c r="Q27" s="1"/>
  <c r="N24"/>
  <c r="N25" s="1"/>
  <c r="N26" s="1"/>
  <c r="N27" s="1"/>
  <c r="K24"/>
  <c r="K25" s="1"/>
  <c r="K26" s="1"/>
  <c r="K27" s="1"/>
  <c r="H24"/>
  <c r="H25" s="1"/>
  <c r="H26" s="1"/>
  <c r="H27" s="1"/>
  <c r="E24"/>
  <c r="C24"/>
  <c r="C25" s="1"/>
  <c r="C26" s="1"/>
  <c r="C27" s="1"/>
  <c r="E21"/>
  <c r="E20"/>
  <c r="U19"/>
  <c r="H19"/>
  <c r="E19"/>
  <c r="U18"/>
  <c r="H18"/>
  <c r="E18"/>
  <c r="U17"/>
  <c r="E17"/>
  <c r="AA46" i="5" s="1"/>
  <c r="AA47" s="1"/>
  <c r="AE47" s="1"/>
  <c r="U16" i="4"/>
  <c r="U20" s="1"/>
  <c r="E16"/>
  <c r="AA39" i="5" s="1"/>
  <c r="AE39" s="1"/>
  <c r="P125" s="1"/>
  <c r="R125" s="1"/>
  <c r="E15" i="4"/>
  <c r="V14"/>
  <c r="U14"/>
  <c r="E14"/>
  <c r="AA31" i="5" s="1"/>
  <c r="Q13" i="4"/>
  <c r="AA43" i="5" s="1"/>
  <c r="AE43" s="1"/>
  <c r="P150" s="1"/>
  <c r="R150" s="1"/>
  <c r="E13" i="4"/>
  <c r="AA38" i="5" s="1"/>
  <c r="AE38" s="1"/>
  <c r="T12" i="4"/>
  <c r="Q12"/>
  <c r="AA26" i="5" s="1"/>
  <c r="N12" i="4"/>
  <c r="K12"/>
  <c r="E12"/>
  <c r="AA9" i="5" s="1"/>
  <c r="Q11" i="4"/>
  <c r="K11"/>
  <c r="AA21" i="5" s="1"/>
  <c r="AE21" s="1"/>
  <c r="C83" s="1"/>
  <c r="I1353" s="1"/>
  <c r="K1353" s="1"/>
  <c r="E11" i="4"/>
  <c r="AA16" i="5" s="1"/>
  <c r="AA17" s="1"/>
  <c r="P10" i="4"/>
  <c r="X19" i="5" s="1"/>
  <c r="E10" i="4"/>
  <c r="AA11" i="5" s="1"/>
  <c r="H4" i="4"/>
  <c r="H10" s="1"/>
  <c r="Q3"/>
  <c r="Q4" s="1"/>
  <c r="Q5" s="1"/>
  <c r="Q6" s="1"/>
  <c r="Q7" s="1"/>
  <c r="N3"/>
  <c r="N4" s="1"/>
  <c r="K3"/>
  <c r="K4" s="1"/>
  <c r="K5" s="1"/>
  <c r="K6" s="1"/>
  <c r="H3"/>
  <c r="E3"/>
  <c r="E4" s="1"/>
  <c r="E5" s="1"/>
  <c r="E6" s="1"/>
  <c r="C3"/>
  <c r="C4" s="1"/>
  <c r="C5" s="1"/>
  <c r="C6" s="1"/>
  <c r="C11" i="5" l="1"/>
  <c r="V710" s="1"/>
  <c r="AA35"/>
  <c r="AA12"/>
  <c r="AA13" s="1"/>
  <c r="C16"/>
  <c r="I726" s="1"/>
  <c r="K726" s="1"/>
  <c r="K36" i="4"/>
  <c r="Q43"/>
  <c r="AL43" i="5"/>
  <c r="R826"/>
  <c r="R847" s="1"/>
  <c r="P871"/>
  <c r="R871" s="1"/>
  <c r="R883" s="1"/>
  <c r="X14"/>
  <c r="Y15"/>
  <c r="E43" i="4"/>
  <c r="Y11" i="5"/>
  <c r="X13"/>
  <c r="AJ43"/>
  <c r="AE280"/>
  <c r="V897"/>
  <c r="X897" s="1"/>
  <c r="X881"/>
  <c r="R908"/>
  <c r="K993"/>
  <c r="K995"/>
  <c r="K1021"/>
  <c r="P1068"/>
  <c r="R1068" s="1"/>
  <c r="R1095"/>
  <c r="AD1358"/>
  <c r="I1879"/>
  <c r="K1879" s="1"/>
  <c r="K2149"/>
  <c r="K2467"/>
  <c r="I2487"/>
  <c r="K2487" s="1"/>
  <c r="I2539"/>
  <c r="I2574" s="1"/>
  <c r="V2598"/>
  <c r="S2603" s="1"/>
  <c r="X2603" s="1"/>
  <c r="AG2607"/>
  <c r="AD2616" s="1"/>
  <c r="K2609"/>
  <c r="AG2622"/>
  <c r="AI2622" s="1"/>
  <c r="K2669"/>
  <c r="P2676"/>
  <c r="K2681"/>
  <c r="P2859"/>
  <c r="R2859" s="1"/>
  <c r="K3055"/>
  <c r="K3152"/>
  <c r="V3159"/>
  <c r="X3159" s="1"/>
  <c r="P3329"/>
  <c r="R3329" s="1"/>
  <c r="K3366"/>
  <c r="I3417"/>
  <c r="F3422" s="1"/>
  <c r="K3422" s="1"/>
  <c r="S3539"/>
  <c r="X3539" s="1"/>
  <c r="AI3539"/>
  <c r="K3574"/>
  <c r="X3645"/>
  <c r="X3647" s="1"/>
  <c r="K3691"/>
  <c r="H3869"/>
  <c r="E3873" s="1"/>
  <c r="K4009"/>
  <c r="K704"/>
  <c r="I706" s="1"/>
  <c r="X709"/>
  <c r="AA709" s="1"/>
  <c r="K743"/>
  <c r="K749" s="1"/>
  <c r="K751" s="1"/>
  <c r="I757" s="1"/>
  <c r="K757" s="1"/>
  <c r="I777" s="1"/>
  <c r="K777" s="1"/>
  <c r="V879"/>
  <c r="X879" s="1"/>
  <c r="I897"/>
  <c r="K897" s="1"/>
  <c r="AG1068"/>
  <c r="AI1068" s="1"/>
  <c r="X1355"/>
  <c r="X1377"/>
  <c r="R1412"/>
  <c r="R1417"/>
  <c r="R1418"/>
  <c r="K2098"/>
  <c r="P2677"/>
  <c r="I2682"/>
  <c r="P2829"/>
  <c r="P2862" s="1"/>
  <c r="R2862" s="1"/>
  <c r="P2860"/>
  <c r="R2860" s="1"/>
  <c r="K2886"/>
  <c r="K2888" s="1"/>
  <c r="P3160"/>
  <c r="P3297"/>
  <c r="R3526"/>
  <c r="AH684"/>
  <c r="AH686" s="1"/>
  <c r="V901"/>
  <c r="X901" s="1"/>
  <c r="K991"/>
  <c r="K1059"/>
  <c r="R1094"/>
  <c r="AG1194"/>
  <c r="P1411"/>
  <c r="R1411" s="1"/>
  <c r="K1630"/>
  <c r="I2486"/>
  <c r="I2508" s="1"/>
  <c r="V2593"/>
  <c r="S2602" s="1"/>
  <c r="X2605"/>
  <c r="AG2617"/>
  <c r="AI2617" s="1"/>
  <c r="I3074"/>
  <c r="P3148"/>
  <c r="M3155" s="1"/>
  <c r="R3155" s="1"/>
  <c r="R3265"/>
  <c r="I3328"/>
  <c r="I3430" s="1"/>
  <c r="P3363"/>
  <c r="R3363" s="1"/>
  <c r="K3522"/>
  <c r="P3530"/>
  <c r="X3555"/>
  <c r="K3573"/>
  <c r="K3575" s="1"/>
  <c r="K3576" s="1"/>
  <c r="I3577" s="1"/>
  <c r="K3577" s="1"/>
  <c r="K3602"/>
  <c r="J3855"/>
  <c r="K3943"/>
  <c r="I3958"/>
  <c r="K3958" s="1"/>
  <c r="K879"/>
  <c r="X880"/>
  <c r="K882"/>
  <c r="P1066"/>
  <c r="R1066" s="1"/>
  <c r="X1352"/>
  <c r="X1353"/>
  <c r="AF1356"/>
  <c r="AD1359"/>
  <c r="X1374"/>
  <c r="K1670"/>
  <c r="I1871"/>
  <c r="K1871" s="1"/>
  <c r="R1908"/>
  <c r="I1923"/>
  <c r="K1923" s="1"/>
  <c r="R2825"/>
  <c r="K3074"/>
  <c r="V3132"/>
  <c r="V3135"/>
  <c r="X3135" s="1"/>
  <c r="P3262"/>
  <c r="R3262" s="1"/>
  <c r="AI3538"/>
  <c r="X3618"/>
  <c r="N10" i="4"/>
  <c r="AA41" i="5" s="1"/>
  <c r="N5" i="4"/>
  <c r="N6" s="1"/>
  <c r="I3735" i="5"/>
  <c r="I3341"/>
  <c r="P1302"/>
  <c r="P2409"/>
  <c r="R2409" s="1"/>
  <c r="C14"/>
  <c r="I819"/>
  <c r="K819" s="1"/>
  <c r="V715"/>
  <c r="K283"/>
  <c r="K515"/>
  <c r="I3004"/>
  <c r="K3004" s="1"/>
  <c r="C35"/>
  <c r="P140"/>
  <c r="R140" s="1"/>
  <c r="I244"/>
  <c r="K244" s="1"/>
  <c r="C141"/>
  <c r="X710"/>
  <c r="AA710" s="1"/>
  <c r="V680"/>
  <c r="X680" s="1"/>
  <c r="V83"/>
  <c r="C27"/>
  <c r="X20"/>
  <c r="X23"/>
  <c r="A265"/>
  <c r="A266" s="1"/>
  <c r="A267" s="1"/>
  <c r="A268" s="1"/>
  <c r="A269" s="1"/>
  <c r="A270" s="1"/>
  <c r="A271" s="1"/>
  <c r="A272" s="1"/>
  <c r="A273" s="1"/>
  <c r="A274" s="1"/>
  <c r="A275" s="1"/>
  <c r="A276" s="1"/>
  <c r="A277" s="1"/>
  <c r="A278" s="1"/>
  <c r="A279" s="1"/>
  <c r="A280"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3" s="1"/>
  <c r="A424" s="1"/>
  <c r="A425" s="1"/>
  <c r="A426" s="1"/>
  <c r="A427" s="1"/>
  <c r="A428" s="1"/>
  <c r="A429" s="1"/>
  <c r="A430" s="1"/>
  <c r="A431" s="1"/>
  <c r="A432" s="1"/>
  <c r="A433" s="1"/>
  <c r="A434" s="1"/>
  <c r="A435" s="1"/>
  <c r="A436" s="1"/>
  <c r="A437"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9" s="1"/>
  <c r="A480" s="1"/>
  <c r="A481" s="1"/>
  <c r="A482" s="1"/>
  <c r="A483" s="1"/>
  <c r="A484" s="1"/>
  <c r="A485" s="1"/>
  <c r="A486" s="1"/>
  <c r="A487" s="1"/>
  <c r="A488" s="1"/>
  <c r="A489" s="1"/>
  <c r="A490" s="1"/>
  <c r="A491" s="1"/>
  <c r="A492" s="1"/>
  <c r="A493" s="1"/>
  <c r="A494" s="1"/>
  <c r="A495" s="1"/>
  <c r="A496" s="1"/>
  <c r="A497"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8" s="1"/>
  <c r="A549" s="1"/>
  <c r="A550" s="1"/>
  <c r="A551" s="1"/>
  <c r="A552" s="1"/>
  <c r="A553" s="1"/>
  <c r="A554" s="1"/>
  <c r="A555" s="1"/>
  <c r="A556" s="1"/>
  <c r="A557" s="1"/>
  <c r="A558" s="1"/>
  <c r="A559" s="1"/>
  <c r="A560" s="1"/>
  <c r="A561" s="1"/>
  <c r="A562" s="1"/>
  <c r="A564" s="1"/>
  <c r="A572" s="1"/>
  <c r="A573" s="1"/>
  <c r="A574" s="1"/>
  <c r="A575" s="1"/>
  <c r="A576" s="1"/>
  <c r="A577" s="1"/>
  <c r="A578" s="1"/>
  <c r="A579" s="1"/>
  <c r="A580" s="1"/>
  <c r="A581" s="1"/>
  <c r="A582" s="1"/>
  <c r="A583" s="1"/>
  <c r="A584" s="1"/>
  <c r="A585" s="1"/>
  <c r="A586" s="1"/>
  <c r="A587" s="1"/>
  <c r="A588" s="1"/>
  <c r="A589" s="1"/>
  <c r="A590" s="1"/>
  <c r="A591" s="1"/>
  <c r="A592" s="1"/>
  <c r="A593" s="1"/>
  <c r="A595" s="1"/>
  <c r="A596" s="1"/>
  <c r="A597" s="1"/>
  <c r="A598" s="1"/>
  <c r="A599" s="1"/>
  <c r="A600" s="1"/>
  <c r="A601" s="1"/>
  <c r="A602" s="1"/>
  <c r="A603" s="1"/>
  <c r="A604" s="1"/>
  <c r="A605" s="1"/>
  <c r="A606" s="1"/>
  <c r="A607" s="1"/>
  <c r="A608"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5" s="1"/>
  <c r="A766" s="1"/>
  <c r="A767" s="1"/>
  <c r="A768" s="1"/>
  <c r="A769" s="1"/>
  <c r="A770" s="1"/>
  <c r="A771" s="1"/>
  <c r="A772" s="1"/>
  <c r="A773" s="1"/>
  <c r="A774" s="1"/>
  <c r="A775" s="1"/>
  <c r="A776" s="1"/>
  <c r="A777" s="1"/>
  <c r="A778" s="1"/>
  <c r="A779" s="1"/>
  <c r="A780" s="1"/>
  <c r="A781" s="1"/>
  <c r="A782" s="1"/>
  <c r="A783" s="1"/>
  <c r="A207"/>
  <c r="A208" s="1"/>
  <c r="I786"/>
  <c r="K786" s="1"/>
  <c r="I764"/>
  <c r="K764" s="1"/>
  <c r="I3796"/>
  <c r="K3796" s="1"/>
  <c r="V3672"/>
  <c r="X3672" s="1"/>
  <c r="P1549"/>
  <c r="R1549" s="1"/>
  <c r="D16"/>
  <c r="I1490"/>
  <c r="K1490" s="1"/>
  <c r="P376"/>
  <c r="R376" s="1"/>
  <c r="P390"/>
  <c r="R390" s="1"/>
  <c r="I2164"/>
  <c r="K2164" s="1"/>
  <c r="I2151"/>
  <c r="I2177"/>
  <c r="K2177" s="1"/>
  <c r="I2131"/>
  <c r="K2131" s="1"/>
  <c r="AB10"/>
  <c r="AB13"/>
  <c r="AE13" s="1"/>
  <c r="C72" s="1"/>
  <c r="AB35"/>
  <c r="AE35" s="1"/>
  <c r="I254" s="1"/>
  <c r="K254" s="1"/>
  <c r="AB12"/>
  <c r="AB15"/>
  <c r="AB11"/>
  <c r="AE11" s="1"/>
  <c r="AB14"/>
  <c r="I2737"/>
  <c r="K2737" s="1"/>
  <c r="I1910"/>
  <c r="K1910" s="1"/>
  <c r="I1808"/>
  <c r="K1808" s="1"/>
  <c r="I1826"/>
  <c r="K1826" s="1"/>
  <c r="I1844"/>
  <c r="P503"/>
  <c r="R503" s="1"/>
  <c r="I607"/>
  <c r="K607" s="1"/>
  <c r="P549"/>
  <c r="R549" s="1"/>
  <c r="P521"/>
  <c r="R521" s="1"/>
  <c r="AA27"/>
  <c r="AE26"/>
  <c r="W12"/>
  <c r="W35"/>
  <c r="AE1197"/>
  <c r="AL1197" s="1"/>
  <c r="S1182"/>
  <c r="S1158"/>
  <c r="J628"/>
  <c r="J659"/>
  <c r="W486" s="1"/>
  <c r="AE486" s="1"/>
  <c r="J535"/>
  <c r="W537" s="1"/>
  <c r="AE537" s="1"/>
  <c r="J559"/>
  <c r="W561" s="1"/>
  <c r="AE561" s="1"/>
  <c r="J612"/>
  <c r="V590" s="1"/>
  <c r="J590"/>
  <c r="AA18"/>
  <c r="AE18" s="1"/>
  <c r="C80" s="1"/>
  <c r="AA29"/>
  <c r="AA14"/>
  <c r="X136"/>
  <c r="X133"/>
  <c r="X134" s="1"/>
  <c r="V110"/>
  <c r="X110" s="1"/>
  <c r="V82"/>
  <c r="X82" s="1"/>
  <c r="X81"/>
  <c r="AE9"/>
  <c r="C68" s="1"/>
  <c r="I295" s="1"/>
  <c r="K295" s="1"/>
  <c r="AA10"/>
  <c r="AE10" s="1"/>
  <c r="C69" s="1"/>
  <c r="I296" s="1"/>
  <c r="K296" s="1"/>
  <c r="I1577"/>
  <c r="K1577" s="1"/>
  <c r="I1564"/>
  <c r="K1564" s="1"/>
  <c r="I1590"/>
  <c r="K1590" s="1"/>
  <c r="J3044"/>
  <c r="K3044" s="1"/>
  <c r="I3121"/>
  <c r="I2409"/>
  <c r="K2409" s="1"/>
  <c r="I1631"/>
  <c r="I2077"/>
  <c r="K2077" s="1"/>
  <c r="I2053"/>
  <c r="K2053" s="1"/>
  <c r="I2008"/>
  <c r="I1943"/>
  <c r="I2106"/>
  <c r="K2106" s="1"/>
  <c r="I2011"/>
  <c r="I1972"/>
  <c r="I1993"/>
  <c r="I2030"/>
  <c r="I2027"/>
  <c r="I2125"/>
  <c r="K2125" s="1"/>
  <c r="I1969"/>
  <c r="I1750"/>
  <c r="K1750" s="1"/>
  <c r="I1780"/>
  <c r="K1780" s="1"/>
  <c r="I2145"/>
  <c r="P450"/>
  <c r="R450" s="1"/>
  <c r="P652"/>
  <c r="R652" s="1"/>
  <c r="P640"/>
  <c r="R640" s="1"/>
  <c r="P431"/>
  <c r="P468"/>
  <c r="R468" s="1"/>
  <c r="P576"/>
  <c r="R576" s="1"/>
  <c r="P622"/>
  <c r="R622" s="1"/>
  <c r="I82"/>
  <c r="K133"/>
  <c r="K134" s="1"/>
  <c r="I110"/>
  <c r="K110" s="1"/>
  <c r="I81"/>
  <c r="K81" s="1"/>
  <c r="K136"/>
  <c r="T1182"/>
  <c r="T1158"/>
  <c r="AE1198"/>
  <c r="J629"/>
  <c r="J630" s="1"/>
  <c r="J631" s="1"/>
  <c r="J632" s="1"/>
  <c r="J593"/>
  <c r="J592"/>
  <c r="J591"/>
  <c r="J560"/>
  <c r="J660"/>
  <c r="J661" s="1"/>
  <c r="J662" s="1"/>
  <c r="J613"/>
  <c r="V591" s="1"/>
  <c r="J598"/>
  <c r="J536"/>
  <c r="J537" s="1"/>
  <c r="J538" s="1"/>
  <c r="J596"/>
  <c r="J615"/>
  <c r="V593" s="1"/>
  <c r="J599"/>
  <c r="J594"/>
  <c r="J597"/>
  <c r="J614"/>
  <c r="V592" s="1"/>
  <c r="J595"/>
  <c r="AE17"/>
  <c r="AE31"/>
  <c r="AA32"/>
  <c r="AB20"/>
  <c r="AB23"/>
  <c r="I3724"/>
  <c r="K3724" s="1"/>
  <c r="P3516"/>
  <c r="R3516" s="1"/>
  <c r="I3343"/>
  <c r="K3343" s="1"/>
  <c r="V1337"/>
  <c r="P1378"/>
  <c r="R1378" s="1"/>
  <c r="P2411"/>
  <c r="R2411" s="1"/>
  <c r="C13"/>
  <c r="I2666"/>
  <c r="I3149"/>
  <c r="P3294"/>
  <c r="I1131"/>
  <c r="K1131" s="1"/>
  <c r="I1056"/>
  <c r="C10"/>
  <c r="H5" i="4"/>
  <c r="H6" s="1"/>
  <c r="Y23" i="5"/>
  <c r="AE46"/>
  <c r="I358"/>
  <c r="Q10" i="4"/>
  <c r="AA19" i="5" s="1"/>
  <c r="I11"/>
  <c r="K11" s="1"/>
  <c r="AE12"/>
  <c r="AE16"/>
  <c r="X24"/>
  <c r="I65"/>
  <c r="K65" s="1"/>
  <c r="J686"/>
  <c r="K723"/>
  <c r="I725" s="1"/>
  <c r="K725" s="1"/>
  <c r="Y14"/>
  <c r="AA25"/>
  <c r="D31"/>
  <c r="AN46"/>
  <c r="AG46" s="1"/>
  <c r="C24" s="1"/>
  <c r="J616" s="1"/>
  <c r="V594" s="1"/>
  <c r="I299"/>
  <c r="K299" s="1"/>
  <c r="V645"/>
  <c r="K686"/>
  <c r="I687" s="1"/>
  <c r="K687" s="1"/>
  <c r="I688" s="1"/>
  <c r="K688" s="1"/>
  <c r="I689" s="1"/>
  <c r="K689" s="1"/>
  <c r="I690" s="1"/>
  <c r="K690" s="1"/>
  <c r="J706"/>
  <c r="K706" s="1"/>
  <c r="I707" s="1"/>
  <c r="I3748"/>
  <c r="I3253"/>
  <c r="K3253" s="1"/>
  <c r="P1375"/>
  <c r="R1375" s="1"/>
  <c r="V1334"/>
  <c r="X1334" s="1"/>
  <c r="P3514"/>
  <c r="R3514" s="1"/>
  <c r="P2359"/>
  <c r="R2359" s="1"/>
  <c r="P1376"/>
  <c r="R1376" s="1"/>
  <c r="I2298"/>
  <c r="K2298" s="1"/>
  <c r="V1335"/>
  <c r="AK1191"/>
  <c r="AM1191" s="1"/>
  <c r="I3283"/>
  <c r="I2636"/>
  <c r="I4065"/>
  <c r="V3133"/>
  <c r="X3116"/>
  <c r="Y18"/>
  <c r="Y29" s="1"/>
  <c r="Y34" s="1"/>
  <c r="P24"/>
  <c r="C31"/>
  <c r="Y35"/>
  <c r="I37"/>
  <c r="K37" s="1"/>
  <c r="I46"/>
  <c r="K46" s="1"/>
  <c r="AL46"/>
  <c r="I197"/>
  <c r="P391"/>
  <c r="R391" s="1"/>
  <c r="Y12"/>
  <c r="AK46"/>
  <c r="I3458"/>
  <c r="I2993"/>
  <c r="K2993" s="1"/>
  <c r="I2427"/>
  <c r="I2790"/>
  <c r="K2790" s="1"/>
  <c r="L2756" s="1"/>
  <c r="I1973"/>
  <c r="I1994"/>
  <c r="I1257"/>
  <c r="I1380"/>
  <c r="K1380" s="1"/>
  <c r="I2078"/>
  <c r="K2078" s="1"/>
  <c r="I2054"/>
  <c r="K2054" s="1"/>
  <c r="I1358"/>
  <c r="K1358" s="1"/>
  <c r="I1223"/>
  <c r="I1707"/>
  <c r="K1707" s="1"/>
  <c r="I1491"/>
  <c r="K1491" s="1"/>
  <c r="P1145"/>
  <c r="I1252"/>
  <c r="I2334"/>
  <c r="K2334" s="1"/>
  <c r="I1337"/>
  <c r="K1337" s="1"/>
  <c r="I1227"/>
  <c r="K1227" s="1"/>
  <c r="I506"/>
  <c r="I447"/>
  <c r="K447" s="1"/>
  <c r="I413"/>
  <c r="K413" s="1"/>
  <c r="I489"/>
  <c r="K489" s="1"/>
  <c r="P285"/>
  <c r="R285" s="1"/>
  <c r="I273"/>
  <c r="K273" s="1"/>
  <c r="P82"/>
  <c r="R82" s="1"/>
  <c r="P52"/>
  <c r="R52" s="1"/>
  <c r="I227"/>
  <c r="P67"/>
  <c r="R67" s="1"/>
  <c r="X15"/>
  <c r="X35"/>
  <c r="AA36"/>
  <c r="I55"/>
  <c r="K55" s="1"/>
  <c r="X12"/>
  <c r="I20"/>
  <c r="K20" s="1"/>
  <c r="I29"/>
  <c r="K29" s="1"/>
  <c r="AA44"/>
  <c r="AE44" s="1"/>
  <c r="AD1331" s="1"/>
  <c r="AE1331" s="1"/>
  <c r="I124"/>
  <c r="K124" s="1"/>
  <c r="K127" s="1"/>
  <c r="K129" s="1"/>
  <c r="K130" s="1"/>
  <c r="I338"/>
  <c r="P2410"/>
  <c r="R2410" s="1"/>
  <c r="P1303"/>
  <c r="R1303" s="1"/>
  <c r="I3768"/>
  <c r="K3768" s="1"/>
  <c r="I3705"/>
  <c r="K3705" s="1"/>
  <c r="AH412"/>
  <c r="AH413" s="1"/>
  <c r="AH414" s="1"/>
  <c r="AH415" s="1"/>
  <c r="AH416" s="1"/>
  <c r="AH417" s="1"/>
  <c r="AH418" s="1"/>
  <c r="AH419" s="1"/>
  <c r="AH420" s="1"/>
  <c r="AH421" s="1"/>
  <c r="AH422" s="1"/>
  <c r="W403"/>
  <c r="W435"/>
  <c r="W436" s="1"/>
  <c r="W437" s="1"/>
  <c r="W438" s="1"/>
  <c r="AH449"/>
  <c r="J687"/>
  <c r="J688" s="1"/>
  <c r="J689" s="1"/>
  <c r="J690" s="1"/>
  <c r="I1772"/>
  <c r="K1772" s="1"/>
  <c r="I1575"/>
  <c r="I1603"/>
  <c r="AM46"/>
  <c r="AI46"/>
  <c r="C30"/>
  <c r="X36"/>
  <c r="X37" s="1"/>
  <c r="I212"/>
  <c r="K212" s="1"/>
  <c r="P377"/>
  <c r="R377" s="1"/>
  <c r="I3795"/>
  <c r="I3342"/>
  <c r="K3342" s="1"/>
  <c r="P2360"/>
  <c r="R2360" s="1"/>
  <c r="V3671"/>
  <c r="X3671" s="1"/>
  <c r="I3749"/>
  <c r="K3749" s="1"/>
  <c r="AH3106"/>
  <c r="I3769"/>
  <c r="K3769" s="1"/>
  <c r="I3723"/>
  <c r="K3723" s="1"/>
  <c r="I3706"/>
  <c r="K3706" s="1"/>
  <c r="P3515"/>
  <c r="P1377"/>
  <c r="R1377" s="1"/>
  <c r="V1336"/>
  <c r="P1548"/>
  <c r="R1548" s="1"/>
  <c r="I2368"/>
  <c r="I2348"/>
  <c r="K2348" s="1"/>
  <c r="P794"/>
  <c r="R794" s="1"/>
  <c r="R798" s="1"/>
  <c r="R800" s="1"/>
  <c r="I784"/>
  <c r="K784" s="1"/>
  <c r="I762"/>
  <c r="K762" s="1"/>
  <c r="P890"/>
  <c r="R890" s="1"/>
  <c r="I3767"/>
  <c r="K3767" s="1"/>
  <c r="I3704"/>
  <c r="K3704" s="1"/>
  <c r="I3722"/>
  <c r="K3722" s="1"/>
  <c r="AH3105"/>
  <c r="I3794"/>
  <c r="K3794" s="1"/>
  <c r="V3670"/>
  <c r="X3670" s="1"/>
  <c r="P1547"/>
  <c r="R1547" s="1"/>
  <c r="P1402"/>
  <c r="AH448"/>
  <c r="AH411"/>
  <c r="W402"/>
  <c r="I3005"/>
  <c r="K3005" s="1"/>
  <c r="P151"/>
  <c r="R151" s="1"/>
  <c r="R154" s="1"/>
  <c r="I3102"/>
  <c r="K3102" s="1"/>
  <c r="P2671"/>
  <c r="K2664"/>
  <c r="AH690"/>
  <c r="AH687"/>
  <c r="AH688"/>
  <c r="X882"/>
  <c r="V898"/>
  <c r="X898" s="1"/>
  <c r="I1091"/>
  <c r="K1091" s="1"/>
  <c r="K1076"/>
  <c r="AA37"/>
  <c r="I382"/>
  <c r="J707"/>
  <c r="J708" s="1"/>
  <c r="J709" s="1"/>
  <c r="J710" s="1"/>
  <c r="I810"/>
  <c r="I2367"/>
  <c r="K2367" s="1"/>
  <c r="P2373"/>
  <c r="R2373" s="1"/>
  <c r="P1117"/>
  <c r="R1117" s="1"/>
  <c r="R1096"/>
  <c r="C12"/>
  <c r="C17"/>
  <c r="C26"/>
  <c r="I94"/>
  <c r="K94" s="1"/>
  <c r="I156"/>
  <c r="K156" s="1"/>
  <c r="I314"/>
  <c r="P1120"/>
  <c r="R1120" s="1"/>
  <c r="R1099"/>
  <c r="R1097"/>
  <c r="P1118"/>
  <c r="R1118" s="1"/>
  <c r="I1782"/>
  <c r="K1782" s="1"/>
  <c r="I1783"/>
  <c r="K1783" s="1"/>
  <c r="I2977"/>
  <c r="K2841"/>
  <c r="I2823"/>
  <c r="X1395"/>
  <c r="V1411"/>
  <c r="R953"/>
  <c r="K990"/>
  <c r="K1023"/>
  <c r="I1026"/>
  <c r="K1057"/>
  <c r="K1060"/>
  <c r="P1072"/>
  <c r="R1072" s="1"/>
  <c r="P1098"/>
  <c r="N1945"/>
  <c r="I2972"/>
  <c r="K2836"/>
  <c r="AF1353"/>
  <c r="AD1370"/>
  <c r="AD1404"/>
  <c r="X1406"/>
  <c r="R1410"/>
  <c r="P1427"/>
  <c r="V1371"/>
  <c r="AG1066"/>
  <c r="AI1066" s="1"/>
  <c r="K2839"/>
  <c r="I2975"/>
  <c r="P1415"/>
  <c r="V1359"/>
  <c r="R1398"/>
  <c r="V1408"/>
  <c r="X1392"/>
  <c r="P1463"/>
  <c r="R1446"/>
  <c r="P1467"/>
  <c r="R1450"/>
  <c r="V895"/>
  <c r="X895" s="1"/>
  <c r="P991"/>
  <c r="R991" s="1"/>
  <c r="K1025"/>
  <c r="AG1064"/>
  <c r="AI1064" s="1"/>
  <c r="P1073"/>
  <c r="R1073" s="1"/>
  <c r="I3781"/>
  <c r="I3987"/>
  <c r="AF1350"/>
  <c r="AD1367"/>
  <c r="AD1390"/>
  <c r="AF1390" s="1"/>
  <c r="AF1373"/>
  <c r="P1051"/>
  <c r="R1051" s="1"/>
  <c r="I2973"/>
  <c r="K2837"/>
  <c r="V1370"/>
  <c r="R1409"/>
  <c r="P1426"/>
  <c r="I898"/>
  <c r="K898" s="1"/>
  <c r="P952"/>
  <c r="R952" s="1"/>
  <c r="P989"/>
  <c r="R989" s="1"/>
  <c r="K994"/>
  <c r="P1115"/>
  <c r="R1115" s="1"/>
  <c r="I2976"/>
  <c r="K2840"/>
  <c r="X1394"/>
  <c r="V1410"/>
  <c r="P1445"/>
  <c r="R1429"/>
  <c r="V1423"/>
  <c r="X1423" s="1"/>
  <c r="P1451"/>
  <c r="R1435"/>
  <c r="P1466"/>
  <c r="R1449"/>
  <c r="P992"/>
  <c r="R992" s="1"/>
  <c r="P1053"/>
  <c r="R1053" s="1"/>
  <c r="K1058"/>
  <c r="AG1067"/>
  <c r="AI1067" s="1"/>
  <c r="AG1069"/>
  <c r="AI1069" s="1"/>
  <c r="P1071"/>
  <c r="R1071" s="1"/>
  <c r="V1412"/>
  <c r="X1396"/>
  <c r="AD1405"/>
  <c r="X1407"/>
  <c r="I2974"/>
  <c r="K2838"/>
  <c r="AD1368"/>
  <c r="AF1351"/>
  <c r="P1447"/>
  <c r="R1431"/>
  <c r="L3232"/>
  <c r="K4024"/>
  <c r="I4037"/>
  <c r="K4037" s="1"/>
  <c r="R1320"/>
  <c r="V1354"/>
  <c r="AD1377"/>
  <c r="X1378"/>
  <c r="X1390"/>
  <c r="R1414"/>
  <c r="P1425"/>
  <c r="R1430"/>
  <c r="R1433"/>
  <c r="K1547"/>
  <c r="N1944"/>
  <c r="AI2651"/>
  <c r="I3241"/>
  <c r="K3241" s="1"/>
  <c r="K3196"/>
  <c r="X3139"/>
  <c r="V3164"/>
  <c r="X3164" s="1"/>
  <c r="I3608"/>
  <c r="K3430"/>
  <c r="X3542"/>
  <c r="V3558"/>
  <c r="V1372"/>
  <c r="P1615"/>
  <c r="R1615" s="1"/>
  <c r="K1695"/>
  <c r="K1697" s="1"/>
  <c r="P1968"/>
  <c r="R1968" s="1"/>
  <c r="P2006"/>
  <c r="R2006" s="1"/>
  <c r="K4065"/>
  <c r="I2314"/>
  <c r="K2314" s="1"/>
  <c r="K2318" s="1"/>
  <c r="K2299"/>
  <c r="P2575"/>
  <c r="R2575" s="1"/>
  <c r="M2581"/>
  <c r="O2581" s="1"/>
  <c r="K2574"/>
  <c r="R3263"/>
  <c r="I3323"/>
  <c r="P3549"/>
  <c r="R3549" s="1"/>
  <c r="R3533"/>
  <c r="X3571"/>
  <c r="V3586"/>
  <c r="I3976"/>
  <c r="K3976" s="1"/>
  <c r="K3959"/>
  <c r="V1369"/>
  <c r="X1391"/>
  <c r="R1393"/>
  <c r="R1434"/>
  <c r="K1505"/>
  <c r="K1587"/>
  <c r="K3585"/>
  <c r="K3586" s="1"/>
  <c r="J3894"/>
  <c r="J3896" s="1"/>
  <c r="K3168"/>
  <c r="I3181"/>
  <c r="K3181" s="1"/>
  <c r="I3747"/>
  <c r="R2433"/>
  <c r="AA2604"/>
  <c r="AG2620"/>
  <c r="AI2620" s="1"/>
  <c r="X2606"/>
  <c r="K3185"/>
  <c r="I3368"/>
  <c r="P3528"/>
  <c r="K3524"/>
  <c r="I3540"/>
  <c r="K3324"/>
  <c r="I3393"/>
  <c r="X3570"/>
  <c r="V3585"/>
  <c r="P1428"/>
  <c r="K2763"/>
  <c r="I2764"/>
  <c r="K2764" s="1"/>
  <c r="K2538"/>
  <c r="I2573"/>
  <c r="K4066"/>
  <c r="I3225"/>
  <c r="K3225" s="1"/>
  <c r="K3210"/>
  <c r="K2537"/>
  <c r="I2572"/>
  <c r="I3482"/>
  <c r="K3482" s="1"/>
  <c r="H3875"/>
  <c r="J3875" s="1"/>
  <c r="J3854"/>
  <c r="P3403"/>
  <c r="R3300"/>
  <c r="P3369"/>
  <c r="R3369" s="1"/>
  <c r="V3543"/>
  <c r="AG3543"/>
  <c r="AI3543" s="1"/>
  <c r="K3543"/>
  <c r="I3974"/>
  <c r="K3974" s="1"/>
  <c r="K3957"/>
  <c r="AF1354"/>
  <c r="AF1355"/>
  <c r="K1626"/>
  <c r="K1806"/>
  <c r="K1840"/>
  <c r="K2297"/>
  <c r="I4007"/>
  <c r="K3991"/>
  <c r="K3992"/>
  <c r="I4008"/>
  <c r="P3194"/>
  <c r="R3194" s="1"/>
  <c r="R3158"/>
  <c r="K3492"/>
  <c r="R3301"/>
  <c r="I3973"/>
  <c r="K3973" s="1"/>
  <c r="K3956"/>
  <c r="AD1371"/>
  <c r="AD1372"/>
  <c r="P1540"/>
  <c r="R1540" s="1"/>
  <c r="O2583"/>
  <c r="O2584" s="1"/>
  <c r="AG2621"/>
  <c r="AI2621" s="1"/>
  <c r="R2829"/>
  <c r="K2971"/>
  <c r="I3271"/>
  <c r="K3271" s="1"/>
  <c r="P3296"/>
  <c r="P3299"/>
  <c r="P3334"/>
  <c r="R3334" s="1"/>
  <c r="I3395"/>
  <c r="P3444"/>
  <c r="R3444" s="1"/>
  <c r="F3538"/>
  <c r="K3538" s="1"/>
  <c r="M3543"/>
  <c r="R3543" s="1"/>
  <c r="I3975"/>
  <c r="K3975" s="1"/>
  <c r="I3979"/>
  <c r="K3979" s="1"/>
  <c r="X3115"/>
  <c r="K3150"/>
  <c r="P3161"/>
  <c r="P3325"/>
  <c r="P3330"/>
  <c r="R3330" s="1"/>
  <c r="P3531"/>
  <c r="I3806"/>
  <c r="K3806" s="1"/>
  <c r="E3852"/>
  <c r="K3940"/>
  <c r="K2539"/>
  <c r="R2828"/>
  <c r="K2970"/>
  <c r="I3075"/>
  <c r="K3075" s="1"/>
  <c r="R3229"/>
  <c r="R3232"/>
  <c r="V3258"/>
  <c r="X3258" s="1"/>
  <c r="R3264"/>
  <c r="P3295"/>
  <c r="K3325"/>
  <c r="K3327"/>
  <c r="P3333"/>
  <c r="R3333" s="1"/>
  <c r="P3443"/>
  <c r="R3443" s="1"/>
  <c r="P3447"/>
  <c r="R3447" s="1"/>
  <c r="K3462"/>
  <c r="I3489"/>
  <c r="K3489" s="1"/>
  <c r="K3529"/>
  <c r="K3542"/>
  <c r="I3545"/>
  <c r="X3554"/>
  <c r="K2466"/>
  <c r="K2471" s="1"/>
  <c r="K2473" s="1"/>
  <c r="K2486"/>
  <c r="K2509"/>
  <c r="K2667"/>
  <c r="V3160"/>
  <c r="X3160" s="1"/>
  <c r="P3298"/>
  <c r="P3332"/>
  <c r="R3332" s="1"/>
  <c r="P3400"/>
  <c r="R3400" s="1"/>
  <c r="P3442"/>
  <c r="R3442" s="1"/>
  <c r="I3525"/>
  <c r="AG3542"/>
  <c r="AI3542" s="1"/>
  <c r="I4068"/>
  <c r="K4068" s="1"/>
  <c r="I4072"/>
  <c r="K4072" s="1"/>
  <c r="K3155"/>
  <c r="R3228"/>
  <c r="R3231"/>
  <c r="P3234"/>
  <c r="I3322"/>
  <c r="K4026"/>
  <c r="I2485"/>
  <c r="K3056"/>
  <c r="X3122"/>
  <c r="K3151"/>
  <c r="K3172"/>
  <c r="K707" l="1"/>
  <c r="I708" s="1"/>
  <c r="K708" s="1"/>
  <c r="I709" s="1"/>
  <c r="K709" s="1"/>
  <c r="I710" s="1"/>
  <c r="K710" s="1"/>
  <c r="K2843"/>
  <c r="K2845" s="1"/>
  <c r="R1552"/>
  <c r="P1541" s="1"/>
  <c r="R1541" s="1"/>
  <c r="R3530"/>
  <c r="P3546"/>
  <c r="R3546" s="1"/>
  <c r="R3297"/>
  <c r="P3366"/>
  <c r="R3366" s="1"/>
  <c r="K3006"/>
  <c r="V3157"/>
  <c r="X3157" s="1"/>
  <c r="X3132"/>
  <c r="R3160"/>
  <c r="V3121"/>
  <c r="K2682"/>
  <c r="I2683"/>
  <c r="K2683" s="1"/>
  <c r="AD1375"/>
  <c r="AF1358"/>
  <c r="AD1376"/>
  <c r="AF1359"/>
  <c r="K2508"/>
  <c r="P2515"/>
  <c r="R2515" s="1"/>
  <c r="R2414"/>
  <c r="R2416" s="1"/>
  <c r="I3716" s="1"/>
  <c r="K3716" s="1"/>
  <c r="V642"/>
  <c r="C70"/>
  <c r="I3530"/>
  <c r="R3403"/>
  <c r="AD1422"/>
  <c r="AF1422" s="1"/>
  <c r="AF1405"/>
  <c r="L3176"/>
  <c r="V3602"/>
  <c r="X3602" s="1"/>
  <c r="X3585"/>
  <c r="V1386"/>
  <c r="X1369"/>
  <c r="AD1408"/>
  <c r="X1410"/>
  <c r="I2865"/>
  <c r="K2865" s="1"/>
  <c r="I1129"/>
  <c r="K1129" s="1"/>
  <c r="I920"/>
  <c r="K920" s="1"/>
  <c r="I927"/>
  <c r="K927" s="1"/>
  <c r="V1286"/>
  <c r="X1286" s="1"/>
  <c r="K1257"/>
  <c r="W594"/>
  <c r="R24"/>
  <c r="K3748"/>
  <c r="I3808"/>
  <c r="K3808" s="1"/>
  <c r="I3504"/>
  <c r="K3504" s="1"/>
  <c r="C78"/>
  <c r="I36"/>
  <c r="I2738"/>
  <c r="K2738" s="1"/>
  <c r="I3457"/>
  <c r="I2698"/>
  <c r="K2698" s="1"/>
  <c r="I2007"/>
  <c r="I1945"/>
  <c r="I1827"/>
  <c r="K1827" s="1"/>
  <c r="I2384"/>
  <c r="I2150"/>
  <c r="I1845"/>
  <c r="I1479"/>
  <c r="K1479" s="1"/>
  <c r="I1251"/>
  <c r="I2130"/>
  <c r="K2130" s="1"/>
  <c r="I1434"/>
  <c r="K1434" s="1"/>
  <c r="I1393"/>
  <c r="K1393" s="1"/>
  <c r="I1305"/>
  <c r="I2026"/>
  <c r="I1406"/>
  <c r="K1406" s="1"/>
  <c r="I1379"/>
  <c r="K1379" s="1"/>
  <c r="I1357"/>
  <c r="K1357" s="1"/>
  <c r="I1222"/>
  <c r="I1646"/>
  <c r="I1466"/>
  <c r="K1466" s="1"/>
  <c r="I1911"/>
  <c r="K1911" s="1"/>
  <c r="I1419"/>
  <c r="K1419" s="1"/>
  <c r="I1272"/>
  <c r="I1809"/>
  <c r="K1809" s="1"/>
  <c r="I1454"/>
  <c r="K1454" s="1"/>
  <c r="I1323"/>
  <c r="K1323" s="1"/>
  <c r="I1201"/>
  <c r="K1201" s="1"/>
  <c r="I899"/>
  <c r="K899" s="1"/>
  <c r="I651"/>
  <c r="K651" s="1"/>
  <c r="I621"/>
  <c r="K621" s="1"/>
  <c r="I605"/>
  <c r="K605" s="1"/>
  <c r="I551"/>
  <c r="K551" s="1"/>
  <c r="I883"/>
  <c r="I488"/>
  <c r="K488" s="1"/>
  <c r="P550"/>
  <c r="R550" s="1"/>
  <c r="I427"/>
  <c r="K427" s="1"/>
  <c r="P308"/>
  <c r="R308" s="1"/>
  <c r="I865"/>
  <c r="I583"/>
  <c r="I337"/>
  <c r="I298"/>
  <c r="K298" s="1"/>
  <c r="P297"/>
  <c r="R297" s="1"/>
  <c r="P522"/>
  <c r="R522" s="1"/>
  <c r="V478"/>
  <c r="I460"/>
  <c r="K460" s="1"/>
  <c r="V529"/>
  <c r="P365"/>
  <c r="R365" s="1"/>
  <c r="P363"/>
  <c r="R363" s="1"/>
  <c r="I313"/>
  <c r="I527"/>
  <c r="K527" s="1"/>
  <c r="I357"/>
  <c r="I446"/>
  <c r="K446" s="1"/>
  <c r="I395"/>
  <c r="P268"/>
  <c r="R268" s="1"/>
  <c r="I381"/>
  <c r="P349"/>
  <c r="R349" s="1"/>
  <c r="P181"/>
  <c r="R181" s="1"/>
  <c r="I412"/>
  <c r="K412" s="1"/>
  <c r="P337"/>
  <c r="R337" s="1"/>
  <c r="P81"/>
  <c r="R81" s="1"/>
  <c r="P504"/>
  <c r="R504" s="1"/>
  <c r="P320"/>
  <c r="R320" s="1"/>
  <c r="K1993"/>
  <c r="P1993"/>
  <c r="R1993" s="1"/>
  <c r="P1633"/>
  <c r="R1633" s="1"/>
  <c r="R1637" s="1"/>
  <c r="K1631"/>
  <c r="AE29"/>
  <c r="C91" s="1"/>
  <c r="AA34"/>
  <c r="AE34" s="1"/>
  <c r="C77" s="1"/>
  <c r="I444" s="1"/>
  <c r="K444" s="1"/>
  <c r="AA45"/>
  <c r="AE45" s="1"/>
  <c r="AA42"/>
  <c r="AE42" s="1"/>
  <c r="AE41"/>
  <c r="P3268"/>
  <c r="R3234"/>
  <c r="P3547"/>
  <c r="R3547" s="1"/>
  <c r="R3531"/>
  <c r="P3365"/>
  <c r="R3365" s="1"/>
  <c r="R3296"/>
  <c r="P3399"/>
  <c r="R3399" s="1"/>
  <c r="AF1371"/>
  <c r="AD1388"/>
  <c r="AF1388" s="1"/>
  <c r="V3559"/>
  <c r="X3543"/>
  <c r="P1444"/>
  <c r="R1428"/>
  <c r="I3355"/>
  <c r="K3355" s="1"/>
  <c r="K3368"/>
  <c r="I3392"/>
  <c r="K3323"/>
  <c r="K3608"/>
  <c r="I3629"/>
  <c r="K3629" s="1"/>
  <c r="K3631" s="1"/>
  <c r="K3633" s="1"/>
  <c r="AF1377"/>
  <c r="AD1394"/>
  <c r="AF1394" s="1"/>
  <c r="P1464"/>
  <c r="R1447"/>
  <c r="R1445"/>
  <c r="P1462"/>
  <c r="R1426"/>
  <c r="P1442"/>
  <c r="AD1384"/>
  <c r="AF1384" s="1"/>
  <c r="AF1367"/>
  <c r="R1463"/>
  <c r="V1424"/>
  <c r="X1424" s="1"/>
  <c r="P1494"/>
  <c r="AF1404"/>
  <c r="AD1421"/>
  <c r="AF1421" s="1"/>
  <c r="K1026"/>
  <c r="I1063"/>
  <c r="K2977"/>
  <c r="I3062"/>
  <c r="P2984"/>
  <c r="R2984" s="1"/>
  <c r="I2322"/>
  <c r="K2322" s="1"/>
  <c r="I3459"/>
  <c r="J3045"/>
  <c r="K3045" s="1"/>
  <c r="K3046" s="1"/>
  <c r="I2791"/>
  <c r="K2791" s="1"/>
  <c r="L2757" s="1"/>
  <c r="I2713"/>
  <c r="I2686"/>
  <c r="K2686" s="1"/>
  <c r="I2994"/>
  <c r="K2994" s="1"/>
  <c r="I2739"/>
  <c r="K2739" s="1"/>
  <c r="I2428"/>
  <c r="I2369"/>
  <c r="I2399"/>
  <c r="I2349"/>
  <c r="I2335"/>
  <c r="K2335" s="1"/>
  <c r="I2336" s="1"/>
  <c r="K2336" s="1"/>
  <c r="K2337" s="1"/>
  <c r="K2338" s="1"/>
  <c r="I2342" s="1"/>
  <c r="K2342" s="1"/>
  <c r="P2337"/>
  <c r="R2337" s="1"/>
  <c r="I1519"/>
  <c r="K1519" s="1"/>
  <c r="I1455"/>
  <c r="K1455" s="1"/>
  <c r="I1420"/>
  <c r="K1420" s="1"/>
  <c r="I1306"/>
  <c r="I1810"/>
  <c r="K1810" s="1"/>
  <c r="I1467"/>
  <c r="K1467" s="1"/>
  <c r="I1435"/>
  <c r="K1435" s="1"/>
  <c r="I1828"/>
  <c r="K1828" s="1"/>
  <c r="I1507"/>
  <c r="I1492"/>
  <c r="K1492" s="1"/>
  <c r="I1381"/>
  <c r="K1381" s="1"/>
  <c r="I1273"/>
  <c r="P1146"/>
  <c r="I2031"/>
  <c r="I1846"/>
  <c r="P1523"/>
  <c r="R1523" s="1"/>
  <c r="I1407"/>
  <c r="K1407" s="1"/>
  <c r="I1394"/>
  <c r="K1394" s="1"/>
  <c r="I1359"/>
  <c r="K1359" s="1"/>
  <c r="I1228"/>
  <c r="K1228" s="1"/>
  <c r="I1224"/>
  <c r="I1149"/>
  <c r="K1149" s="1"/>
  <c r="I2165"/>
  <c r="K2165" s="1"/>
  <c r="K2167" s="1"/>
  <c r="K2169" s="1"/>
  <c r="I1974"/>
  <c r="P1360"/>
  <c r="R1360" s="1"/>
  <c r="R1363" s="1"/>
  <c r="R1365" s="1"/>
  <c r="I1324"/>
  <c r="K1324" s="1"/>
  <c r="I1253"/>
  <c r="I2079"/>
  <c r="K2079" s="1"/>
  <c r="K2085" s="1"/>
  <c r="K2087" s="1"/>
  <c r="I2055"/>
  <c r="K2055" s="1"/>
  <c r="K2061" s="1"/>
  <c r="K2063" s="1"/>
  <c r="I1995"/>
  <c r="I1944"/>
  <c r="I1480"/>
  <c r="K1480" s="1"/>
  <c r="I1258"/>
  <c r="I1202"/>
  <c r="K1202" s="1"/>
  <c r="I2178"/>
  <c r="K2178" s="1"/>
  <c r="I2152"/>
  <c r="I2132"/>
  <c r="K2132" s="1"/>
  <c r="I2107"/>
  <c r="K2107" s="1"/>
  <c r="I2012"/>
  <c r="I1338"/>
  <c r="K1338" s="1"/>
  <c r="I1912"/>
  <c r="K1912" s="1"/>
  <c r="I1708"/>
  <c r="K1708" s="1"/>
  <c r="I1647"/>
  <c r="I1162"/>
  <c r="K1162" s="1"/>
  <c r="P523"/>
  <c r="R523" s="1"/>
  <c r="I490"/>
  <c r="K490" s="1"/>
  <c r="P891"/>
  <c r="R891" s="1"/>
  <c r="I884"/>
  <c r="I866"/>
  <c r="V479"/>
  <c r="I900"/>
  <c r="K900" s="1"/>
  <c r="I652"/>
  <c r="K652" s="1"/>
  <c r="P551"/>
  <c r="R551" s="1"/>
  <c r="I528"/>
  <c r="K528" s="1"/>
  <c r="V711"/>
  <c r="I606"/>
  <c r="K606" s="1"/>
  <c r="I811"/>
  <c r="I584"/>
  <c r="I315"/>
  <c r="I213"/>
  <c r="K213" s="1"/>
  <c r="P83"/>
  <c r="R83" s="1"/>
  <c r="I274"/>
  <c r="K274" s="1"/>
  <c r="V646"/>
  <c r="I622"/>
  <c r="K622" s="1"/>
  <c r="I727"/>
  <c r="K727" s="1"/>
  <c r="P392"/>
  <c r="R392" s="1"/>
  <c r="I228"/>
  <c r="I339"/>
  <c r="P321"/>
  <c r="R321" s="1"/>
  <c r="P309"/>
  <c r="R309" s="1"/>
  <c r="I300"/>
  <c r="K300" s="1"/>
  <c r="P286"/>
  <c r="R286" s="1"/>
  <c r="I552"/>
  <c r="K552" s="1"/>
  <c r="P505"/>
  <c r="R505" s="1"/>
  <c r="I414"/>
  <c r="K414" s="1"/>
  <c r="I359"/>
  <c r="I198"/>
  <c r="P298"/>
  <c r="R298" s="1"/>
  <c r="V530"/>
  <c r="I383"/>
  <c r="P378"/>
  <c r="R378" s="1"/>
  <c r="P364"/>
  <c r="R364" s="1"/>
  <c r="P338"/>
  <c r="R338" s="1"/>
  <c r="I785"/>
  <c r="K785" s="1"/>
  <c r="K792" s="1"/>
  <c r="K794" s="1"/>
  <c r="I763"/>
  <c r="K763" s="1"/>
  <c r="K768" s="1"/>
  <c r="K770" s="1"/>
  <c r="I2356" s="1"/>
  <c r="P53"/>
  <c r="R53" s="1"/>
  <c r="I507"/>
  <c r="I448"/>
  <c r="K448" s="1"/>
  <c r="P68"/>
  <c r="R68" s="1"/>
  <c r="P350"/>
  <c r="R350" s="1"/>
  <c r="K2368"/>
  <c r="P2374"/>
  <c r="R2374" s="1"/>
  <c r="AJ3106"/>
  <c r="AS3106"/>
  <c r="AU3106" s="1"/>
  <c r="V1281"/>
  <c r="X1281" s="1"/>
  <c r="K1252"/>
  <c r="I989"/>
  <c r="K989" s="1"/>
  <c r="I1019"/>
  <c r="P721"/>
  <c r="R721" s="1"/>
  <c r="P752"/>
  <c r="R752" s="1"/>
  <c r="P736"/>
  <c r="R736" s="1"/>
  <c r="I954"/>
  <c r="AA24"/>
  <c r="AE24" s="1"/>
  <c r="C86" s="1"/>
  <c r="AE25"/>
  <c r="C87" s="1"/>
  <c r="K2030"/>
  <c r="P2030"/>
  <c r="R2030" s="1"/>
  <c r="K2180"/>
  <c r="K2182" s="1"/>
  <c r="K2184" s="1"/>
  <c r="K2542"/>
  <c r="K2545" s="1"/>
  <c r="K2548" s="1"/>
  <c r="K3725"/>
  <c r="I3717" s="1"/>
  <c r="K3717" s="1"/>
  <c r="K3718" s="1"/>
  <c r="K3719" s="1"/>
  <c r="K1973"/>
  <c r="P1973"/>
  <c r="R1973" s="1"/>
  <c r="I2385"/>
  <c r="K2385" s="1"/>
  <c r="I2699"/>
  <c r="K2699" s="1"/>
  <c r="I3460"/>
  <c r="I2714"/>
  <c r="I2687"/>
  <c r="K2687" s="1"/>
  <c r="I2740"/>
  <c r="K2740" s="1"/>
  <c r="I2133"/>
  <c r="K2133" s="1"/>
  <c r="I2108"/>
  <c r="K2108" s="1"/>
  <c r="I1436"/>
  <c r="K1436" s="1"/>
  <c r="I1254"/>
  <c r="I1229"/>
  <c r="K1229" s="1"/>
  <c r="I1709"/>
  <c r="K1709" s="1"/>
  <c r="I2429"/>
  <c r="I2153"/>
  <c r="I1913"/>
  <c r="K1913" s="1"/>
  <c r="I1648"/>
  <c r="I1408"/>
  <c r="K1408" s="1"/>
  <c r="I1360"/>
  <c r="K1360" s="1"/>
  <c r="I1325"/>
  <c r="K1325" s="1"/>
  <c r="I1259"/>
  <c r="I2028"/>
  <c r="I1811"/>
  <c r="K1811" s="1"/>
  <c r="I1520"/>
  <c r="K1520" s="1"/>
  <c r="I1339"/>
  <c r="K1339" s="1"/>
  <c r="I1225"/>
  <c r="I1829"/>
  <c r="K1829" s="1"/>
  <c r="I1395"/>
  <c r="K1395" s="1"/>
  <c r="I1203"/>
  <c r="K1203" s="1"/>
  <c r="I1847"/>
  <c r="I1508"/>
  <c r="I1235"/>
  <c r="K1235" s="1"/>
  <c r="I2009"/>
  <c r="I1307"/>
  <c r="P1524"/>
  <c r="R1524" s="1"/>
  <c r="I1493"/>
  <c r="K1493" s="1"/>
  <c r="I1421"/>
  <c r="K1421" s="1"/>
  <c r="I1382"/>
  <c r="K1382" s="1"/>
  <c r="P1147"/>
  <c r="I812"/>
  <c r="V647"/>
  <c r="P552"/>
  <c r="R552" s="1"/>
  <c r="I508"/>
  <c r="I449"/>
  <c r="K449" s="1"/>
  <c r="I902"/>
  <c r="K902" s="1"/>
  <c r="I415"/>
  <c r="K415" s="1"/>
  <c r="P351"/>
  <c r="R351" s="1"/>
  <c r="P339"/>
  <c r="R339" s="1"/>
  <c r="P322"/>
  <c r="R322" s="1"/>
  <c r="I316"/>
  <c r="I229"/>
  <c r="I491"/>
  <c r="K491" s="1"/>
  <c r="P366"/>
  <c r="R366" s="1"/>
  <c r="I384"/>
  <c r="I360"/>
  <c r="I340"/>
  <c r="I886"/>
  <c r="P54"/>
  <c r="R54" s="1"/>
  <c r="I868"/>
  <c r="P379"/>
  <c r="R379" s="1"/>
  <c r="P69"/>
  <c r="R69" s="1"/>
  <c r="P524"/>
  <c r="R524" s="1"/>
  <c r="P310"/>
  <c r="R310" s="1"/>
  <c r="I301"/>
  <c r="K301" s="1"/>
  <c r="I199"/>
  <c r="V712"/>
  <c r="P506"/>
  <c r="R506" s="1"/>
  <c r="P393"/>
  <c r="R393" s="1"/>
  <c r="P287"/>
  <c r="R287" s="1"/>
  <c r="I275"/>
  <c r="K275" s="1"/>
  <c r="I214"/>
  <c r="K214" s="1"/>
  <c r="P84"/>
  <c r="R84" s="1"/>
  <c r="P299"/>
  <c r="R299" s="1"/>
  <c r="AL1198"/>
  <c r="AE1199"/>
  <c r="V3545"/>
  <c r="AG3545"/>
  <c r="AI3545" s="1"/>
  <c r="K3545"/>
  <c r="P3362"/>
  <c r="R3325"/>
  <c r="I4022"/>
  <c r="K4007"/>
  <c r="L3191"/>
  <c r="X1354"/>
  <c r="AD1352"/>
  <c r="K1635"/>
  <c r="K1638" s="1"/>
  <c r="L1601"/>
  <c r="L1602" s="1"/>
  <c r="AD1387"/>
  <c r="AF1387" s="1"/>
  <c r="AF1370"/>
  <c r="K338"/>
  <c r="V338"/>
  <c r="P1176"/>
  <c r="R1176" s="1"/>
  <c r="R1145"/>
  <c r="X1335"/>
  <c r="AD1333"/>
  <c r="AE1333" s="1"/>
  <c r="I255"/>
  <c r="K255" s="1"/>
  <c r="K259" s="1"/>
  <c r="K261" s="1"/>
  <c r="C79"/>
  <c r="X715"/>
  <c r="V685"/>
  <c r="X685" s="1"/>
  <c r="I3391"/>
  <c r="K3322"/>
  <c r="K3525"/>
  <c r="I3541"/>
  <c r="P3529"/>
  <c r="R3299"/>
  <c r="P3368"/>
  <c r="R3368" s="1"/>
  <c r="P3402"/>
  <c r="R3402" s="1"/>
  <c r="I4023"/>
  <c r="K4008"/>
  <c r="P2573"/>
  <c r="R2573" s="1"/>
  <c r="R2578" s="1"/>
  <c r="R2580" s="1"/>
  <c r="I2607"/>
  <c r="K2572"/>
  <c r="K2577" s="1"/>
  <c r="K2580" s="1"/>
  <c r="K2583" s="1"/>
  <c r="I2608"/>
  <c r="K2573"/>
  <c r="P2574"/>
  <c r="R2574" s="1"/>
  <c r="R3528"/>
  <c r="P3544"/>
  <c r="R3544" s="1"/>
  <c r="AJ3105"/>
  <c r="AJ3109" s="1"/>
  <c r="AS3105"/>
  <c r="AU3105" s="1"/>
  <c r="AU3109" s="1"/>
  <c r="I3463"/>
  <c r="K3458"/>
  <c r="I3825"/>
  <c r="K3825" s="1"/>
  <c r="P3464"/>
  <c r="R3464" s="1"/>
  <c r="Y37"/>
  <c r="Y36"/>
  <c r="V3251"/>
  <c r="X3251" s="1"/>
  <c r="K3283"/>
  <c r="I3483"/>
  <c r="K3483" s="1"/>
  <c r="I1088"/>
  <c r="K1088" s="1"/>
  <c r="I1073"/>
  <c r="K1073" s="1"/>
  <c r="K2027"/>
  <c r="P2027"/>
  <c r="R2027" s="1"/>
  <c r="AE14"/>
  <c r="AA15"/>
  <c r="AE15" s="1"/>
  <c r="AE27"/>
  <c r="AA28"/>
  <c r="AE28" s="1"/>
  <c r="V111"/>
  <c r="X111" s="1"/>
  <c r="X83"/>
  <c r="X86" s="1"/>
  <c r="X88" s="1"/>
  <c r="I3759"/>
  <c r="K3759" s="1"/>
  <c r="K3735"/>
  <c r="K3737" s="1"/>
  <c r="K3738" s="1"/>
  <c r="K3708"/>
  <c r="K3709" s="1"/>
  <c r="I3644"/>
  <c r="K3747"/>
  <c r="I3060"/>
  <c r="P2982"/>
  <c r="R2982" s="1"/>
  <c r="K2975"/>
  <c r="P2830"/>
  <c r="I3488"/>
  <c r="K3488" s="1"/>
  <c r="V2791"/>
  <c r="X2791" s="1"/>
  <c r="I2642"/>
  <c r="AG2795"/>
  <c r="AI2795" s="1"/>
  <c r="K2823"/>
  <c r="X1337"/>
  <c r="AD1335"/>
  <c r="AE1335" s="1"/>
  <c r="AB36"/>
  <c r="AE36" s="1"/>
  <c r="I243" s="1"/>
  <c r="K243" s="1"/>
  <c r="AB37"/>
  <c r="AE37" s="1"/>
  <c r="I242" s="1"/>
  <c r="K242" s="1"/>
  <c r="P25"/>
  <c r="R25" s="1"/>
  <c r="I141"/>
  <c r="K141" s="1"/>
  <c r="K2996"/>
  <c r="P1419"/>
  <c r="V1363"/>
  <c r="R1402"/>
  <c r="R1404" s="1"/>
  <c r="K2976"/>
  <c r="I3061"/>
  <c r="P2983"/>
  <c r="R2983" s="1"/>
  <c r="R1467"/>
  <c r="P1498"/>
  <c r="P2336"/>
  <c r="R2336" s="1"/>
  <c r="R2338" s="1"/>
  <c r="R2339" s="1"/>
  <c r="I2321"/>
  <c r="K2321" s="1"/>
  <c r="K2323" s="1"/>
  <c r="K2324" s="1"/>
  <c r="I2329" s="1"/>
  <c r="K2329" s="1"/>
  <c r="K2330" s="1"/>
  <c r="K2331" s="1"/>
  <c r="I3423"/>
  <c r="K3423" s="1"/>
  <c r="P2643"/>
  <c r="R2643" s="1"/>
  <c r="K2636"/>
  <c r="V2604"/>
  <c r="I3104"/>
  <c r="K3104" s="1"/>
  <c r="P2673"/>
  <c r="K2666"/>
  <c r="J561"/>
  <c r="W562"/>
  <c r="AE562" s="1"/>
  <c r="I3660"/>
  <c r="R431"/>
  <c r="P2009"/>
  <c r="R2009" s="1"/>
  <c r="K2008"/>
  <c r="I2662"/>
  <c r="I3318"/>
  <c r="K3318" s="1"/>
  <c r="P3188"/>
  <c r="I2813"/>
  <c r="I3146"/>
  <c r="I2633"/>
  <c r="C88"/>
  <c r="I3367"/>
  <c r="K3341"/>
  <c r="K3346" s="1"/>
  <c r="K3348" s="1"/>
  <c r="K2485"/>
  <c r="K2490" s="1"/>
  <c r="K2492" s="1"/>
  <c r="I2507"/>
  <c r="AF1372"/>
  <c r="AD1389"/>
  <c r="AF1389" s="1"/>
  <c r="K3540"/>
  <c r="V3540"/>
  <c r="AG3540"/>
  <c r="AI3540" s="1"/>
  <c r="V3574"/>
  <c r="X3558"/>
  <c r="X1412"/>
  <c r="AD1410"/>
  <c r="P1468"/>
  <c r="R1451"/>
  <c r="P1432"/>
  <c r="R1415"/>
  <c r="V1376"/>
  <c r="P1443"/>
  <c r="R1427"/>
  <c r="I2146"/>
  <c r="I2126"/>
  <c r="K2126" s="1"/>
  <c r="I1970"/>
  <c r="I1757"/>
  <c r="K1757" s="1"/>
  <c r="P577"/>
  <c r="R577" s="1"/>
  <c r="P469"/>
  <c r="R469" s="1"/>
  <c r="R487" s="1"/>
  <c r="R489" s="1"/>
  <c r="P451"/>
  <c r="R451" s="1"/>
  <c r="R462" s="1"/>
  <c r="R464" s="1"/>
  <c r="I168"/>
  <c r="K168" s="1"/>
  <c r="P141"/>
  <c r="I83"/>
  <c r="I482"/>
  <c r="K482" s="1"/>
  <c r="P432"/>
  <c r="I176"/>
  <c r="K176" s="1"/>
  <c r="K810"/>
  <c r="V804"/>
  <c r="K3795"/>
  <c r="I3809"/>
  <c r="K3809" s="1"/>
  <c r="K1575"/>
  <c r="I1588"/>
  <c r="K1588" s="1"/>
  <c r="P2434"/>
  <c r="R2434" s="1"/>
  <c r="K2427"/>
  <c r="K358"/>
  <c r="V358"/>
  <c r="P3156"/>
  <c r="R3156" s="1"/>
  <c r="K3149"/>
  <c r="I3461"/>
  <c r="I2296"/>
  <c r="K2296" s="1"/>
  <c r="K2302" s="1"/>
  <c r="K2304" s="1"/>
  <c r="P1379"/>
  <c r="R1379" s="1"/>
  <c r="C67"/>
  <c r="J663"/>
  <c r="W487"/>
  <c r="AE487" s="1"/>
  <c r="K1969"/>
  <c r="P1969"/>
  <c r="R1969" s="1"/>
  <c r="I3564"/>
  <c r="K3564" s="1"/>
  <c r="K1943"/>
  <c r="W36"/>
  <c r="W13"/>
  <c r="K1844"/>
  <c r="P1860"/>
  <c r="I1752"/>
  <c r="K1752" s="1"/>
  <c r="I184"/>
  <c r="K184" s="1"/>
  <c r="K189" s="1"/>
  <c r="I154"/>
  <c r="K154" s="1"/>
  <c r="R1302"/>
  <c r="P1321"/>
  <c r="R1321" s="1"/>
  <c r="K3799"/>
  <c r="I3789" s="1"/>
  <c r="X3675"/>
  <c r="V3653"/>
  <c r="K3781"/>
  <c r="K3791" s="1"/>
  <c r="K3792" s="1"/>
  <c r="P2012"/>
  <c r="R2012" s="1"/>
  <c r="K2011"/>
  <c r="P3364"/>
  <c r="R3364" s="1"/>
  <c r="R3295"/>
  <c r="P3398"/>
  <c r="R3398" s="1"/>
  <c r="V3603"/>
  <c r="X3603" s="1"/>
  <c r="X3586"/>
  <c r="V1389"/>
  <c r="X1372"/>
  <c r="L3207"/>
  <c r="R1425"/>
  <c r="P1441"/>
  <c r="K2974"/>
  <c r="I3059"/>
  <c r="P2981"/>
  <c r="R2981" s="1"/>
  <c r="P2980"/>
  <c r="R2980" s="1"/>
  <c r="K2973"/>
  <c r="I3058"/>
  <c r="I3994"/>
  <c r="AD1357"/>
  <c r="X1359"/>
  <c r="X1371"/>
  <c r="V1388"/>
  <c r="P2979"/>
  <c r="R2979" s="1"/>
  <c r="K2972"/>
  <c r="K2979" s="1"/>
  <c r="K2981" s="1"/>
  <c r="I3057"/>
  <c r="P1119"/>
  <c r="R1119" s="1"/>
  <c r="R1098"/>
  <c r="X1411"/>
  <c r="AD1409"/>
  <c r="R3515"/>
  <c r="R3518" s="1"/>
  <c r="R3519" s="1"/>
  <c r="I3506" s="1"/>
  <c r="K3506" s="1"/>
  <c r="P3507"/>
  <c r="R3507" s="1"/>
  <c r="R3509" s="1"/>
  <c r="R3510" s="1"/>
  <c r="K1603"/>
  <c r="I1615"/>
  <c r="P1604"/>
  <c r="R1604" s="1"/>
  <c r="P233"/>
  <c r="R233" s="1"/>
  <c r="K227"/>
  <c r="I2900"/>
  <c r="K2900" s="1"/>
  <c r="K506"/>
  <c r="P1218"/>
  <c r="K1223"/>
  <c r="V3158"/>
  <c r="X3158" s="1"/>
  <c r="X3133"/>
  <c r="R2361"/>
  <c r="R2363" s="1"/>
  <c r="R2365" s="1"/>
  <c r="P2354" s="1"/>
  <c r="R2354" s="1"/>
  <c r="S2321"/>
  <c r="X645"/>
  <c r="AF645"/>
  <c r="AH645" s="1"/>
  <c r="AE19"/>
  <c r="AA20"/>
  <c r="R3294"/>
  <c r="P3397"/>
  <c r="R3397" s="1"/>
  <c r="AA33"/>
  <c r="AE33" s="1"/>
  <c r="AE32"/>
  <c r="C139" s="1"/>
  <c r="P2158"/>
  <c r="R2158" s="1"/>
  <c r="K2151"/>
  <c r="I1179"/>
  <c r="K1179" s="1"/>
  <c r="K1183" s="1"/>
  <c r="K1185" s="1"/>
  <c r="I1771"/>
  <c r="K1771" s="1"/>
  <c r="L2759"/>
  <c r="K2793" s="1"/>
  <c r="R588"/>
  <c r="R590" s="1"/>
  <c r="X114"/>
  <c r="X116" s="1"/>
  <c r="X118" s="1"/>
  <c r="X119" s="1"/>
  <c r="I2712"/>
  <c r="K2712" s="1"/>
  <c r="I2718"/>
  <c r="K2718" s="1"/>
  <c r="I2775"/>
  <c r="K2775" s="1"/>
  <c r="K2778" s="1"/>
  <c r="P1522"/>
  <c r="R1522" s="1"/>
  <c r="R1527" s="1"/>
  <c r="R1529" s="1"/>
  <c r="I1548"/>
  <c r="K1548" s="1"/>
  <c r="K1551" s="1"/>
  <c r="K1553" s="1"/>
  <c r="I3490" s="1"/>
  <c r="K3490" s="1"/>
  <c r="I1161"/>
  <c r="K1161" s="1"/>
  <c r="I1535"/>
  <c r="K1535" s="1"/>
  <c r="I1518"/>
  <c r="K1518" s="1"/>
  <c r="K1524" s="1"/>
  <c r="K1526" s="1"/>
  <c r="I1147"/>
  <c r="K1147" s="1"/>
  <c r="K1152" s="1"/>
  <c r="K1154" s="1"/>
  <c r="I1533"/>
  <c r="K1533" s="1"/>
  <c r="I1506"/>
  <c r="P3367"/>
  <c r="R3367" s="1"/>
  <c r="R3298"/>
  <c r="P3401"/>
  <c r="R3401" s="1"/>
  <c r="V3120"/>
  <c r="R3161"/>
  <c r="P1497"/>
  <c r="R1466"/>
  <c r="P165"/>
  <c r="R165" s="1"/>
  <c r="K197"/>
  <c r="P197"/>
  <c r="K3121"/>
  <c r="K3123" s="1"/>
  <c r="P3121"/>
  <c r="R3121" s="1"/>
  <c r="R3123" s="1"/>
  <c r="AF1368"/>
  <c r="AD1385"/>
  <c r="AF1385" s="1"/>
  <c r="X1370"/>
  <c r="V1387"/>
  <c r="I4018"/>
  <c r="I4006"/>
  <c r="K4006" s="1"/>
  <c r="K3987"/>
  <c r="I3988"/>
  <c r="AD1406"/>
  <c r="X1408"/>
  <c r="K314"/>
  <c r="V314"/>
  <c r="K382"/>
  <c r="V382"/>
  <c r="X1336"/>
  <c r="AD1334"/>
  <c r="AE1334" s="1"/>
  <c r="W405"/>
  <c r="W406" s="1"/>
  <c r="W404"/>
  <c r="K1994"/>
  <c r="P1994"/>
  <c r="R1994" s="1"/>
  <c r="V801"/>
  <c r="V706"/>
  <c r="C71"/>
  <c r="P1142" s="1"/>
  <c r="P1067"/>
  <c r="R1067" s="1"/>
  <c r="P1049"/>
  <c r="R1049" s="1"/>
  <c r="P990"/>
  <c r="R990" s="1"/>
  <c r="AG1065"/>
  <c r="AI1065" s="1"/>
  <c r="K1056"/>
  <c r="J539"/>
  <c r="W538"/>
  <c r="AE538" s="1"/>
  <c r="K82"/>
  <c r="L82"/>
  <c r="P2152"/>
  <c r="R2152" s="1"/>
  <c r="K2145"/>
  <c r="K1972"/>
  <c r="P1972"/>
  <c r="R1972" s="1"/>
  <c r="I355"/>
  <c r="K355" s="1"/>
  <c r="I335"/>
  <c r="K335" s="1"/>
  <c r="I410"/>
  <c r="K410" s="1"/>
  <c r="I379"/>
  <c r="K379" s="1"/>
  <c r="I311"/>
  <c r="K311" s="1"/>
  <c r="R1148"/>
  <c r="P1179" s="1"/>
  <c r="R1179" s="1"/>
  <c r="V807"/>
  <c r="R1324"/>
  <c r="R1326" s="1"/>
  <c r="S1326" s="1"/>
  <c r="R893"/>
  <c r="R895" s="1"/>
  <c r="K730"/>
  <c r="K732" s="1"/>
  <c r="K801" s="1"/>
  <c r="R382"/>
  <c r="R384" s="1"/>
  <c r="P413" s="1"/>
  <c r="R413" s="1"/>
  <c r="R529" l="1"/>
  <c r="R531" s="1"/>
  <c r="R557"/>
  <c r="R559" s="1"/>
  <c r="I4071"/>
  <c r="K4071" s="1"/>
  <c r="X3121"/>
  <c r="V3138"/>
  <c r="R511"/>
  <c r="R513" s="1"/>
  <c r="R396"/>
  <c r="R398" s="1"/>
  <c r="P402" s="1"/>
  <c r="R402" s="1"/>
  <c r="K1496"/>
  <c r="K1498" s="1"/>
  <c r="AD1393"/>
  <c r="AF1393" s="1"/>
  <c r="AF1376"/>
  <c r="AF1375"/>
  <c r="AD1392"/>
  <c r="AF1392" s="1"/>
  <c r="K2689"/>
  <c r="K2690" s="1"/>
  <c r="K1834"/>
  <c r="K1836" s="1"/>
  <c r="I1880" s="1"/>
  <c r="K1880" s="1"/>
  <c r="K1882" s="1"/>
  <c r="X89"/>
  <c r="X90"/>
  <c r="X91" s="1"/>
  <c r="P403"/>
  <c r="R403" s="1"/>
  <c r="K247"/>
  <c r="K249" s="1"/>
  <c r="I1601"/>
  <c r="I1573"/>
  <c r="K1573" s="1"/>
  <c r="V3683"/>
  <c r="X3653"/>
  <c r="X706"/>
  <c r="AA706" s="1"/>
  <c r="V676"/>
  <c r="X676" s="1"/>
  <c r="V413"/>
  <c r="X413" s="1"/>
  <c r="X382"/>
  <c r="AG391"/>
  <c r="R197"/>
  <c r="V197"/>
  <c r="X197" s="1"/>
  <c r="X1388"/>
  <c r="V1404"/>
  <c r="X1376"/>
  <c r="V1393"/>
  <c r="I4034"/>
  <c r="K4034" s="1"/>
  <c r="K4023"/>
  <c r="V2783"/>
  <c r="X2783" s="1"/>
  <c r="I2243"/>
  <c r="K2243" s="1"/>
  <c r="P945"/>
  <c r="R945" s="1"/>
  <c r="P1173"/>
  <c r="R1173" s="1"/>
  <c r="R1142"/>
  <c r="R1218"/>
  <c r="T1218" s="1"/>
  <c r="P1223"/>
  <c r="P1260"/>
  <c r="R1860"/>
  <c r="P1891"/>
  <c r="R1891" s="1"/>
  <c r="AG367"/>
  <c r="AI367" s="1"/>
  <c r="X358"/>
  <c r="V819"/>
  <c r="X819" s="1"/>
  <c r="X804"/>
  <c r="R1443"/>
  <c r="P1460"/>
  <c r="AG2786"/>
  <c r="AI2786" s="1"/>
  <c r="P2820"/>
  <c r="I2863"/>
  <c r="K2863" s="1"/>
  <c r="K2813"/>
  <c r="K3760"/>
  <c r="K3772" s="1"/>
  <c r="K3774" s="1"/>
  <c r="AF1352"/>
  <c r="AD1369"/>
  <c r="K384"/>
  <c r="V384"/>
  <c r="P1863"/>
  <c r="K1847"/>
  <c r="K2028"/>
  <c r="P2028"/>
  <c r="R2028" s="1"/>
  <c r="P2436"/>
  <c r="R2436" s="1"/>
  <c r="K2429"/>
  <c r="K811"/>
  <c r="V805"/>
  <c r="I3306"/>
  <c r="K3306" s="1"/>
  <c r="I3927"/>
  <c r="V866"/>
  <c r="X866" s="1"/>
  <c r="K866"/>
  <c r="P859"/>
  <c r="R859" s="1"/>
  <c r="K1258"/>
  <c r="V1287"/>
  <c r="X1287" s="1"/>
  <c r="I3170"/>
  <c r="K1507"/>
  <c r="I3081"/>
  <c r="K3081" s="1"/>
  <c r="K3062"/>
  <c r="P3069"/>
  <c r="R3069" s="1"/>
  <c r="P1495"/>
  <c r="V1425"/>
  <c r="X1425" s="1"/>
  <c r="R1464"/>
  <c r="AS87"/>
  <c r="AU87" s="1"/>
  <c r="AS132"/>
  <c r="AU132" s="1"/>
  <c r="AS163"/>
  <c r="AU163" s="1"/>
  <c r="AS63"/>
  <c r="AU63" s="1"/>
  <c r="AS107"/>
  <c r="AU107" s="1"/>
  <c r="K395"/>
  <c r="V395"/>
  <c r="P1334"/>
  <c r="K1305"/>
  <c r="I2398"/>
  <c r="K2384"/>
  <c r="I1753"/>
  <c r="K1753" s="1"/>
  <c r="K1760" s="1"/>
  <c r="K1762" s="1"/>
  <c r="I2148"/>
  <c r="P1143"/>
  <c r="I2128"/>
  <c r="K2128" s="1"/>
  <c r="I54"/>
  <c r="K54" s="1"/>
  <c r="I809"/>
  <c r="I505"/>
  <c r="I64"/>
  <c r="K64" s="1"/>
  <c r="I10"/>
  <c r="K10" s="1"/>
  <c r="I272"/>
  <c r="K272" s="1"/>
  <c r="I28"/>
  <c r="K28" s="1"/>
  <c r="P10"/>
  <c r="R10" s="1"/>
  <c r="I73"/>
  <c r="K73" s="1"/>
  <c r="K1165"/>
  <c r="K1167" s="1"/>
  <c r="R2986"/>
  <c r="R2988" s="1"/>
  <c r="K1915"/>
  <c r="K1917" s="1"/>
  <c r="I1924" s="1"/>
  <c r="K1924" s="1"/>
  <c r="K1927" s="1"/>
  <c r="W539"/>
  <c r="AE539" s="1"/>
  <c r="J540"/>
  <c r="C81"/>
  <c r="C165"/>
  <c r="P3396"/>
  <c r="R3396" s="1"/>
  <c r="R3362"/>
  <c r="R1147"/>
  <c r="P1178"/>
  <c r="R1178" s="1"/>
  <c r="I3171"/>
  <c r="K1508"/>
  <c r="K2153"/>
  <c r="P2160"/>
  <c r="R2160" s="1"/>
  <c r="P1093"/>
  <c r="K1019"/>
  <c r="V584"/>
  <c r="X584" s="1"/>
  <c r="K584"/>
  <c r="AD479"/>
  <c r="AF479" s="1"/>
  <c r="X479"/>
  <c r="AG388"/>
  <c r="AG335"/>
  <c r="AI335" s="1"/>
  <c r="AG311"/>
  <c r="AI311" s="1"/>
  <c r="AG364"/>
  <c r="AI364" s="1"/>
  <c r="V553"/>
  <c r="X553" s="1"/>
  <c r="X529"/>
  <c r="AD529"/>
  <c r="I3926"/>
  <c r="I3305"/>
  <c r="K3305" s="1"/>
  <c r="K865"/>
  <c r="P858"/>
  <c r="R858" s="1"/>
  <c r="V865"/>
  <c r="X865" s="1"/>
  <c r="K2026"/>
  <c r="P2026"/>
  <c r="R2026" s="1"/>
  <c r="K2150"/>
  <c r="P2157"/>
  <c r="R2157" s="1"/>
  <c r="I19"/>
  <c r="K19" s="1"/>
  <c r="I45"/>
  <c r="K45" s="1"/>
  <c r="I140"/>
  <c r="K36"/>
  <c r="V1402"/>
  <c r="X1386"/>
  <c r="K3530"/>
  <c r="I3546"/>
  <c r="P3534"/>
  <c r="X801"/>
  <c r="V816"/>
  <c r="X816" s="1"/>
  <c r="T3123"/>
  <c r="R3124"/>
  <c r="K3146"/>
  <c r="P3153"/>
  <c r="R3153" s="1"/>
  <c r="K3660"/>
  <c r="I3681"/>
  <c r="K3681" s="1"/>
  <c r="R2830"/>
  <c r="P2863"/>
  <c r="R2863" s="1"/>
  <c r="AH3113"/>
  <c r="AH3114" s="1"/>
  <c r="AH3115" s="1"/>
  <c r="AI3113"/>
  <c r="AI3114" s="1"/>
  <c r="AI3115" s="1"/>
  <c r="AJ3113"/>
  <c r="AJ3114" s="1"/>
  <c r="AJ3115" s="1"/>
  <c r="K360"/>
  <c r="V360"/>
  <c r="AF1406"/>
  <c r="AD1423"/>
  <c r="AF1423" s="1"/>
  <c r="AA23"/>
  <c r="AE23" s="1"/>
  <c r="C85" s="1"/>
  <c r="AE20"/>
  <c r="P1616"/>
  <c r="R1616" s="1"/>
  <c r="K1615"/>
  <c r="P3064"/>
  <c r="R3064" s="1"/>
  <c r="K3057"/>
  <c r="I3076"/>
  <c r="K3076" s="1"/>
  <c r="I3077"/>
  <c r="K3077" s="1"/>
  <c r="P3065"/>
  <c r="R3065" s="1"/>
  <c r="K3058"/>
  <c r="R141"/>
  <c r="R144" s="1"/>
  <c r="P126"/>
  <c r="R126" s="1"/>
  <c r="R129" s="1"/>
  <c r="K2146"/>
  <c r="P2153"/>
  <c r="R2153" s="1"/>
  <c r="AD1427"/>
  <c r="AF1427" s="1"/>
  <c r="AF1410"/>
  <c r="I3420"/>
  <c r="K3420" s="1"/>
  <c r="V2601"/>
  <c r="P2640"/>
  <c r="R2640" s="1"/>
  <c r="K2633"/>
  <c r="K3061"/>
  <c r="P3068"/>
  <c r="R3068" s="1"/>
  <c r="I3080"/>
  <c r="K3080" s="1"/>
  <c r="V800"/>
  <c r="I175"/>
  <c r="K175" s="1"/>
  <c r="K179" s="1"/>
  <c r="V705"/>
  <c r="C73"/>
  <c r="AS3114"/>
  <c r="AS3115" s="1"/>
  <c r="AS3116" s="1"/>
  <c r="AT3114"/>
  <c r="AT3115" s="1"/>
  <c r="AT3116" s="1"/>
  <c r="K2607"/>
  <c r="H3852"/>
  <c r="V3541"/>
  <c r="AG3541"/>
  <c r="AI3541" s="1"/>
  <c r="K3541"/>
  <c r="K340"/>
  <c r="V340"/>
  <c r="K812"/>
  <c r="V806"/>
  <c r="P234"/>
  <c r="R234" s="1"/>
  <c r="K228"/>
  <c r="K315"/>
  <c r="V315"/>
  <c r="I3642"/>
  <c r="K3642" s="1"/>
  <c r="K1647"/>
  <c r="K1253"/>
  <c r="V1282"/>
  <c r="X1282" s="1"/>
  <c r="P2435"/>
  <c r="R2435" s="1"/>
  <c r="K2428"/>
  <c r="V1455"/>
  <c r="P1537"/>
  <c r="R1537" s="1"/>
  <c r="R1494"/>
  <c r="V311"/>
  <c r="X311" s="1"/>
  <c r="P79"/>
  <c r="R79" s="1"/>
  <c r="V355"/>
  <c r="X355" s="1"/>
  <c r="V379"/>
  <c r="V335"/>
  <c r="X335" s="1"/>
  <c r="K381"/>
  <c r="V381"/>
  <c r="V583"/>
  <c r="X583" s="1"/>
  <c r="K583"/>
  <c r="K587" s="1"/>
  <c r="K589" s="1"/>
  <c r="I590" s="1"/>
  <c r="K590" s="1"/>
  <c r="I591" s="1"/>
  <c r="K591" s="1"/>
  <c r="I592" s="1"/>
  <c r="K592" s="1"/>
  <c r="I593" s="1"/>
  <c r="K593" s="1"/>
  <c r="I594" s="1"/>
  <c r="K594" s="1"/>
  <c r="I1286"/>
  <c r="K1286" s="1"/>
  <c r="AD1265"/>
  <c r="AF1265" s="1"/>
  <c r="K1272"/>
  <c r="P1861"/>
  <c r="K1845"/>
  <c r="K610"/>
  <c r="K2745"/>
  <c r="K2747" s="1"/>
  <c r="I2765" s="1"/>
  <c r="K2765" s="1"/>
  <c r="K2767" s="1"/>
  <c r="V3707"/>
  <c r="V3659"/>
  <c r="K3461"/>
  <c r="I3828"/>
  <c r="K3828" s="1"/>
  <c r="P3467"/>
  <c r="R3467" s="1"/>
  <c r="P1499"/>
  <c r="R1468"/>
  <c r="K4022"/>
  <c r="I4035"/>
  <c r="K4035" s="1"/>
  <c r="K199"/>
  <c r="P199"/>
  <c r="P167"/>
  <c r="R167" s="1"/>
  <c r="AF647"/>
  <c r="AH647" s="1"/>
  <c r="X647"/>
  <c r="P2010"/>
  <c r="R2010" s="1"/>
  <c r="K2009"/>
  <c r="I3643"/>
  <c r="K3643" s="1"/>
  <c r="K1648"/>
  <c r="K359"/>
  <c r="V359"/>
  <c r="K339"/>
  <c r="V339"/>
  <c r="P2159"/>
  <c r="R2159" s="1"/>
  <c r="K2152"/>
  <c r="AD1266"/>
  <c r="AF1266" s="1"/>
  <c r="K1273"/>
  <c r="I1287"/>
  <c r="K1287" s="1"/>
  <c r="K1306"/>
  <c r="P1335"/>
  <c r="P1304"/>
  <c r="R1304" s="1"/>
  <c r="P2375"/>
  <c r="R2375" s="1"/>
  <c r="R2379" s="1"/>
  <c r="R2381" s="1"/>
  <c r="K2369"/>
  <c r="K2372" s="1"/>
  <c r="K2374" s="1"/>
  <c r="P3465"/>
  <c r="R3465" s="1"/>
  <c r="K3459"/>
  <c r="I3464"/>
  <c r="I3826"/>
  <c r="K3826" s="1"/>
  <c r="P1493"/>
  <c r="R1462"/>
  <c r="P1476"/>
  <c r="P3335"/>
  <c r="R3268"/>
  <c r="V337"/>
  <c r="K337"/>
  <c r="P3463"/>
  <c r="R3463" s="1"/>
  <c r="I3824"/>
  <c r="K3824" s="1"/>
  <c r="K3457"/>
  <c r="AF1408"/>
  <c r="AD1425"/>
  <c r="AF1425" s="1"/>
  <c r="K1816"/>
  <c r="K1818" s="1"/>
  <c r="I1872" s="1"/>
  <c r="K1872" s="1"/>
  <c r="K1874" s="1"/>
  <c r="AF1409"/>
  <c r="AD1426"/>
  <c r="AF1426" s="1"/>
  <c r="K3988"/>
  <c r="I3989"/>
  <c r="X3120"/>
  <c r="V3137"/>
  <c r="I4070"/>
  <c r="K4070" s="1"/>
  <c r="R1497"/>
  <c r="V1458"/>
  <c r="I111"/>
  <c r="K111" s="1"/>
  <c r="K114" s="1"/>
  <c r="K116" s="1"/>
  <c r="K83"/>
  <c r="K86" s="1"/>
  <c r="K88" s="1"/>
  <c r="I96"/>
  <c r="AF1357"/>
  <c r="AD1374"/>
  <c r="R1441"/>
  <c r="P1458"/>
  <c r="K1970"/>
  <c r="P1970"/>
  <c r="R1970" s="1"/>
  <c r="I3354"/>
  <c r="K3354" s="1"/>
  <c r="K3357" s="1"/>
  <c r="K3358" s="1"/>
  <c r="K3367"/>
  <c r="K3370" s="1"/>
  <c r="K3371" s="1"/>
  <c r="V2610"/>
  <c r="P2649"/>
  <c r="R2649" s="1"/>
  <c r="K2642"/>
  <c r="K3644"/>
  <c r="P3468"/>
  <c r="R3468" s="1"/>
  <c r="I2634"/>
  <c r="I2814"/>
  <c r="I3147"/>
  <c r="I2663"/>
  <c r="I3319"/>
  <c r="K3319" s="1"/>
  <c r="P3189"/>
  <c r="C89"/>
  <c r="H3853"/>
  <c r="K2608"/>
  <c r="I152"/>
  <c r="K152" s="1"/>
  <c r="K161" s="1"/>
  <c r="P627"/>
  <c r="R627" s="1"/>
  <c r="P22"/>
  <c r="X712"/>
  <c r="AA712" s="1"/>
  <c r="V682"/>
  <c r="X682" s="1"/>
  <c r="K316"/>
  <c r="V316"/>
  <c r="P1305"/>
  <c r="K1307"/>
  <c r="K1225"/>
  <c r="P1220"/>
  <c r="I2358"/>
  <c r="I2360"/>
  <c r="P198"/>
  <c r="K198"/>
  <c r="P166"/>
  <c r="R166" s="1"/>
  <c r="K1224"/>
  <c r="P1219"/>
  <c r="P1177"/>
  <c r="R1177" s="1"/>
  <c r="R1146"/>
  <c r="I2411"/>
  <c r="K2411" s="1"/>
  <c r="K2399"/>
  <c r="V3575"/>
  <c r="X3559"/>
  <c r="T1640"/>
  <c r="R1640"/>
  <c r="V313"/>
  <c r="K313"/>
  <c r="V883"/>
  <c r="K883"/>
  <c r="V1280"/>
  <c r="X1280" s="1"/>
  <c r="K1251"/>
  <c r="AF642"/>
  <c r="AH642" s="1"/>
  <c r="X642"/>
  <c r="K1538"/>
  <c r="K1540" s="1"/>
  <c r="K2701"/>
  <c r="K2702" s="1"/>
  <c r="K2703" s="1"/>
  <c r="I4010"/>
  <c r="K3994"/>
  <c r="I3387"/>
  <c r="I3477" s="1"/>
  <c r="K3477" s="1"/>
  <c r="I1127"/>
  <c r="K1127" s="1"/>
  <c r="I1053"/>
  <c r="I1015"/>
  <c r="K1015" s="1"/>
  <c r="I985"/>
  <c r="K985" s="1"/>
  <c r="I921"/>
  <c r="K921" s="1"/>
  <c r="K923" s="1"/>
  <c r="I950"/>
  <c r="K950" s="1"/>
  <c r="P210"/>
  <c r="R210" s="1"/>
  <c r="AG2618"/>
  <c r="AI2618" s="1"/>
  <c r="AG2652"/>
  <c r="AI2652" s="1"/>
  <c r="AA2602"/>
  <c r="X2604"/>
  <c r="P2346"/>
  <c r="I167"/>
  <c r="K167" s="1"/>
  <c r="K171" s="1"/>
  <c r="C74"/>
  <c r="P231"/>
  <c r="R231" s="1"/>
  <c r="P3545"/>
  <c r="R3545" s="1"/>
  <c r="R3529"/>
  <c r="K886"/>
  <c r="V886"/>
  <c r="X807"/>
  <c r="V822"/>
  <c r="X822" s="1"/>
  <c r="AS66"/>
  <c r="X314"/>
  <c r="AG314"/>
  <c r="AI314" s="1"/>
  <c r="V1403"/>
  <c r="X1387"/>
  <c r="I3169"/>
  <c r="K1506"/>
  <c r="K1511" s="1"/>
  <c r="K1513" s="1"/>
  <c r="C140"/>
  <c r="C138"/>
  <c r="I3661"/>
  <c r="R432"/>
  <c r="R444" s="1"/>
  <c r="R446" s="1"/>
  <c r="P1448"/>
  <c r="R1432"/>
  <c r="V3556"/>
  <c r="X3540"/>
  <c r="P2669"/>
  <c r="K2662"/>
  <c r="I3100"/>
  <c r="K3100" s="1"/>
  <c r="V1459"/>
  <c r="R1498"/>
  <c r="I2815"/>
  <c r="I3282"/>
  <c r="P3259"/>
  <c r="R3259" s="1"/>
  <c r="C90"/>
  <c r="K3463"/>
  <c r="P3469"/>
  <c r="R3469" s="1"/>
  <c r="I3830"/>
  <c r="K3830" s="1"/>
  <c r="AE1200"/>
  <c r="AL1199"/>
  <c r="I3929"/>
  <c r="I3308"/>
  <c r="K3308" s="1"/>
  <c r="P861"/>
  <c r="R861" s="1"/>
  <c r="K868"/>
  <c r="V868"/>
  <c r="X868" s="1"/>
  <c r="P235"/>
  <c r="R235" s="1"/>
  <c r="K229"/>
  <c r="I2902"/>
  <c r="K2902" s="1"/>
  <c r="K508"/>
  <c r="K1254"/>
  <c r="V1283"/>
  <c r="X1283" s="1"/>
  <c r="P3192"/>
  <c r="I2817"/>
  <c r="K954"/>
  <c r="P947"/>
  <c r="R947" s="1"/>
  <c r="K1995"/>
  <c r="P1995"/>
  <c r="R1995" s="1"/>
  <c r="K2031"/>
  <c r="P2031"/>
  <c r="R2031" s="1"/>
  <c r="I3578"/>
  <c r="K2349"/>
  <c r="K2351" s="1"/>
  <c r="K2352" s="1"/>
  <c r="I2354" s="1"/>
  <c r="I2386" s="1"/>
  <c r="K2386" s="1"/>
  <c r="P1459"/>
  <c r="R1442"/>
  <c r="P1217"/>
  <c r="K1222"/>
  <c r="K2007"/>
  <c r="P2008"/>
  <c r="R2008" s="1"/>
  <c r="I1303"/>
  <c r="K1303" s="1"/>
  <c r="I1644"/>
  <c r="K1644" s="1"/>
  <c r="I503"/>
  <c r="K2134"/>
  <c r="K4018"/>
  <c r="I4019"/>
  <c r="I4033"/>
  <c r="K4033" s="1"/>
  <c r="P3066"/>
  <c r="R3066" s="1"/>
  <c r="I3078"/>
  <c r="K3078" s="1"/>
  <c r="K3059"/>
  <c r="W14"/>
  <c r="W15" s="1"/>
  <c r="W37"/>
  <c r="I2425"/>
  <c r="I1576"/>
  <c r="K1576" s="1"/>
  <c r="I1645"/>
  <c r="I1589"/>
  <c r="K1589" s="1"/>
  <c r="I1226"/>
  <c r="I2147"/>
  <c r="I1561"/>
  <c r="K1561" s="1"/>
  <c r="K1567" s="1"/>
  <c r="I1255"/>
  <c r="I2127"/>
  <c r="K2127" s="1"/>
  <c r="I1304"/>
  <c r="K1304" s="1"/>
  <c r="I1284"/>
  <c r="K1284" s="1"/>
  <c r="I808"/>
  <c r="I44"/>
  <c r="K44" s="1"/>
  <c r="K49" s="1"/>
  <c r="I271"/>
  <c r="K271" s="1"/>
  <c r="I35"/>
  <c r="K35" s="1"/>
  <c r="K40" s="1"/>
  <c r="I72"/>
  <c r="K72" s="1"/>
  <c r="K77" s="1"/>
  <c r="I18"/>
  <c r="K18" s="1"/>
  <c r="K23" s="1"/>
  <c r="I53"/>
  <c r="K53" s="1"/>
  <c r="K58" s="1"/>
  <c r="I504"/>
  <c r="I63"/>
  <c r="K63" s="1"/>
  <c r="K68" s="1"/>
  <c r="I27"/>
  <c r="K27" s="1"/>
  <c r="K32" s="1"/>
  <c r="I9"/>
  <c r="R1419"/>
  <c r="R1421" s="1"/>
  <c r="P1436"/>
  <c r="V1380"/>
  <c r="K3060"/>
  <c r="P3067"/>
  <c r="R3067" s="1"/>
  <c r="I3079"/>
  <c r="K3079" s="1"/>
  <c r="AG338"/>
  <c r="AI338" s="1"/>
  <c r="X338"/>
  <c r="X3545"/>
  <c r="V3561"/>
  <c r="I3465"/>
  <c r="I3827"/>
  <c r="K3827" s="1"/>
  <c r="P3466"/>
  <c r="R3466" s="1"/>
  <c r="K3460"/>
  <c r="V2781"/>
  <c r="I2242"/>
  <c r="K2242" s="1"/>
  <c r="K2252" s="1"/>
  <c r="P1046"/>
  <c r="P719"/>
  <c r="R719" s="1"/>
  <c r="R728" s="1"/>
  <c r="R730" s="1"/>
  <c r="P750"/>
  <c r="R750" s="1"/>
  <c r="R759" s="1"/>
  <c r="R761" s="1"/>
  <c r="P943"/>
  <c r="P734"/>
  <c r="R734" s="1"/>
  <c r="R743" s="1"/>
  <c r="R745" s="1"/>
  <c r="I2901"/>
  <c r="K2901" s="1"/>
  <c r="K507"/>
  <c r="V554"/>
  <c r="X554" s="1"/>
  <c r="X530"/>
  <c r="AD530"/>
  <c r="X646"/>
  <c r="AF646"/>
  <c r="AH646" s="1"/>
  <c r="V681"/>
  <c r="X681" s="1"/>
  <c r="X711"/>
  <c r="AA711" s="1"/>
  <c r="P2013"/>
  <c r="R2013" s="1"/>
  <c r="K2012"/>
  <c r="I3565"/>
  <c r="K3565" s="1"/>
  <c r="K3569" s="1"/>
  <c r="K1944"/>
  <c r="P1862"/>
  <c r="K1846"/>
  <c r="K2713"/>
  <c r="I2719"/>
  <c r="K2719" s="1"/>
  <c r="AG1072"/>
  <c r="AI1072" s="1"/>
  <c r="P997"/>
  <c r="R997" s="1"/>
  <c r="I1078"/>
  <c r="K1063"/>
  <c r="R1444"/>
  <c r="P1461"/>
  <c r="K357"/>
  <c r="V357"/>
  <c r="I3641"/>
  <c r="K3641" s="1"/>
  <c r="K1646"/>
  <c r="I3566"/>
  <c r="K3566" s="1"/>
  <c r="K1945"/>
  <c r="X1389"/>
  <c r="V1405"/>
  <c r="W488"/>
  <c r="AE488" s="1"/>
  <c r="J664"/>
  <c r="X3574"/>
  <c r="V3589"/>
  <c r="P2514"/>
  <c r="R2514" s="1"/>
  <c r="R2519" s="1"/>
  <c r="R2521" s="1"/>
  <c r="K2507"/>
  <c r="K2512" s="1"/>
  <c r="K2515" s="1"/>
  <c r="P3221"/>
  <c r="P3291"/>
  <c r="R3188"/>
  <c r="P3257"/>
  <c r="R3257" s="1"/>
  <c r="W563"/>
  <c r="AE563" s="1"/>
  <c r="J562"/>
  <c r="AD1361"/>
  <c r="X1363"/>
  <c r="X1365" s="1"/>
  <c r="V1288"/>
  <c r="X1288" s="1"/>
  <c r="K1259"/>
  <c r="K2714"/>
  <c r="I2720"/>
  <c r="K2720" s="1"/>
  <c r="K383"/>
  <c r="V383"/>
  <c r="V884"/>
  <c r="K884"/>
  <c r="K1974"/>
  <c r="P1974"/>
  <c r="R1974" s="1"/>
  <c r="X478"/>
  <c r="AD478"/>
  <c r="AF478" s="1"/>
  <c r="K3514"/>
  <c r="K3515" s="1"/>
  <c r="K2723" l="1"/>
  <c r="K2725" s="1"/>
  <c r="K1948"/>
  <c r="K2136"/>
  <c r="K2138" s="1"/>
  <c r="K2034"/>
  <c r="K2715"/>
  <c r="K2716" s="1"/>
  <c r="K1852"/>
  <c r="K1854" s="1"/>
  <c r="I1888" s="1"/>
  <c r="V3163"/>
  <c r="X3163" s="1"/>
  <c r="X3138"/>
  <c r="I1897"/>
  <c r="K1897" s="1"/>
  <c r="K1899" s="1"/>
  <c r="K1888"/>
  <c r="K1890" s="1"/>
  <c r="P595"/>
  <c r="R595" s="1"/>
  <c r="P608"/>
  <c r="R608" s="1"/>
  <c r="K89"/>
  <c r="K90"/>
  <c r="X357"/>
  <c r="AG366"/>
  <c r="AI366" s="1"/>
  <c r="V3247"/>
  <c r="X3247" s="1"/>
  <c r="P3394"/>
  <c r="R3394" s="1"/>
  <c r="R3291"/>
  <c r="P3360"/>
  <c r="R3360" s="1"/>
  <c r="AD1403"/>
  <c r="X1405"/>
  <c r="V2782"/>
  <c r="X2782" s="1"/>
  <c r="X2781"/>
  <c r="I3455"/>
  <c r="I2424"/>
  <c r="I1376"/>
  <c r="K1376" s="1"/>
  <c r="I1249"/>
  <c r="I1336"/>
  <c r="K1336" s="1"/>
  <c r="K1342" s="1"/>
  <c r="K1344" s="1"/>
  <c r="I1706"/>
  <c r="K1706" s="1"/>
  <c r="P1333"/>
  <c r="I1433"/>
  <c r="K1433" s="1"/>
  <c r="I1354"/>
  <c r="K1354" s="1"/>
  <c r="I1220"/>
  <c r="I1418"/>
  <c r="K1418" s="1"/>
  <c r="K1424" s="1"/>
  <c r="K1426" s="1"/>
  <c r="P348"/>
  <c r="R348" s="1"/>
  <c r="R354" s="1"/>
  <c r="R356" s="1"/>
  <c r="P296"/>
  <c r="R296" s="1"/>
  <c r="R302" s="1"/>
  <c r="R304" s="1"/>
  <c r="P196"/>
  <c r="I620"/>
  <c r="K620" s="1"/>
  <c r="K625" s="1"/>
  <c r="K627" s="1"/>
  <c r="I628" s="1"/>
  <c r="K628" s="1"/>
  <c r="I629" s="1"/>
  <c r="K629" s="1"/>
  <c r="I630" s="1"/>
  <c r="K630" s="1"/>
  <c r="I631" s="1"/>
  <c r="K631" s="1"/>
  <c r="I632" s="1"/>
  <c r="K632" s="1"/>
  <c r="I3252"/>
  <c r="K3252" s="1"/>
  <c r="I1453"/>
  <c r="K1453" s="1"/>
  <c r="K1458" s="1"/>
  <c r="K1460" s="1"/>
  <c r="I1392"/>
  <c r="K1392" s="1"/>
  <c r="K1398" s="1"/>
  <c r="K1400" s="1"/>
  <c r="P628" s="1"/>
  <c r="R628" s="1"/>
  <c r="I1478"/>
  <c r="K1478" s="1"/>
  <c r="K1483" s="1"/>
  <c r="K1485" s="1"/>
  <c r="I1465"/>
  <c r="K1465" s="1"/>
  <c r="K1470" s="1"/>
  <c r="K1472" s="1"/>
  <c r="I196"/>
  <c r="K196" s="1"/>
  <c r="P336"/>
  <c r="R336" s="1"/>
  <c r="R342" s="1"/>
  <c r="R344" s="1"/>
  <c r="V312"/>
  <c r="X312" s="1"/>
  <c r="P80"/>
  <c r="R80" s="1"/>
  <c r="I312"/>
  <c r="K312" s="1"/>
  <c r="K319" s="1"/>
  <c r="K321" s="1"/>
  <c r="AS64"/>
  <c r="AU64" s="1"/>
  <c r="I297"/>
  <c r="K297" s="1"/>
  <c r="K304" s="1"/>
  <c r="K306" s="1"/>
  <c r="AG312"/>
  <c r="AI312" s="1"/>
  <c r="K1226"/>
  <c r="P1221"/>
  <c r="R1217"/>
  <c r="T1217" s="1"/>
  <c r="P1259"/>
  <c r="I3479"/>
  <c r="K3479" s="1"/>
  <c r="P2822"/>
  <c r="K2815"/>
  <c r="P1089"/>
  <c r="K1053"/>
  <c r="P1064"/>
  <c r="R1064" s="1"/>
  <c r="P987"/>
  <c r="R987" s="1"/>
  <c r="AG1062"/>
  <c r="AI1062" s="1"/>
  <c r="I3109"/>
  <c r="K3109" s="1"/>
  <c r="I3547"/>
  <c r="R198"/>
  <c r="V198"/>
  <c r="X198" s="1"/>
  <c r="AG316"/>
  <c r="AI316" s="1"/>
  <c r="X316"/>
  <c r="AS68"/>
  <c r="H3874"/>
  <c r="J3874" s="1"/>
  <c r="J3853"/>
  <c r="AD1456"/>
  <c r="AF1456" s="1"/>
  <c r="X1458"/>
  <c r="I3831"/>
  <c r="K3831" s="1"/>
  <c r="K3464"/>
  <c r="P3470"/>
  <c r="R3470" s="1"/>
  <c r="R199"/>
  <c r="V199"/>
  <c r="X199" s="1"/>
  <c r="I1705"/>
  <c r="K1705" s="1"/>
  <c r="K1711" s="1"/>
  <c r="K1713" s="1"/>
  <c r="P1141"/>
  <c r="P65"/>
  <c r="R65" s="1"/>
  <c r="I210"/>
  <c r="K210" s="1"/>
  <c r="P195"/>
  <c r="R195" s="1"/>
  <c r="I807"/>
  <c r="K807" s="1"/>
  <c r="P626"/>
  <c r="R626" s="1"/>
  <c r="I270"/>
  <c r="K270" s="1"/>
  <c r="K278" s="1"/>
  <c r="K280" s="1"/>
  <c r="AD553"/>
  <c r="AF553" s="1"/>
  <c r="AF529"/>
  <c r="I3184"/>
  <c r="K3171"/>
  <c r="AW163"/>
  <c r="AX163" s="1"/>
  <c r="K3927"/>
  <c r="I3945"/>
  <c r="AD1402"/>
  <c r="X1404"/>
  <c r="X587"/>
  <c r="X589" s="1"/>
  <c r="X590" s="1"/>
  <c r="X591" s="1"/>
  <c r="X592" s="1"/>
  <c r="X593" s="1"/>
  <c r="X594" s="1"/>
  <c r="X595" s="1"/>
  <c r="K2154"/>
  <c r="P1490"/>
  <c r="V1420"/>
  <c r="X1420" s="1"/>
  <c r="R1459"/>
  <c r="I3746"/>
  <c r="K3746" s="1"/>
  <c r="K3752" s="1"/>
  <c r="K3753" s="1"/>
  <c r="K9"/>
  <c r="K2147"/>
  <c r="P2154"/>
  <c r="R2154" s="1"/>
  <c r="I3947"/>
  <c r="K3929"/>
  <c r="K3282"/>
  <c r="V3250"/>
  <c r="X3250" s="1"/>
  <c r="X3556"/>
  <c r="V3572"/>
  <c r="I3182"/>
  <c r="K3169"/>
  <c r="V902"/>
  <c r="X902" s="1"/>
  <c r="X886"/>
  <c r="X3575"/>
  <c r="V3590"/>
  <c r="V1303"/>
  <c r="R1305"/>
  <c r="R1309" s="1"/>
  <c r="R1311" s="1"/>
  <c r="K2634"/>
  <c r="P2641"/>
  <c r="R2641" s="1"/>
  <c r="R2652" s="1"/>
  <c r="R2654" s="1"/>
  <c r="I3421"/>
  <c r="K3421" s="1"/>
  <c r="V2602"/>
  <c r="L116"/>
  <c r="K118"/>
  <c r="K119" s="1"/>
  <c r="K120" s="1"/>
  <c r="K121" s="1"/>
  <c r="AG368"/>
  <c r="AI368" s="1"/>
  <c r="X359"/>
  <c r="K602"/>
  <c r="I595"/>
  <c r="K595" s="1"/>
  <c r="I596" s="1"/>
  <c r="K596" s="1"/>
  <c r="I597" s="1"/>
  <c r="K597" s="1"/>
  <c r="I598" s="1"/>
  <c r="K598" s="1"/>
  <c r="I599" s="1"/>
  <c r="K599" s="1"/>
  <c r="X340"/>
  <c r="AG340"/>
  <c r="AI340" s="1"/>
  <c r="V3546"/>
  <c r="AG3546"/>
  <c r="AI3546" s="1"/>
  <c r="K3546"/>
  <c r="K3926"/>
  <c r="I3944"/>
  <c r="J541"/>
  <c r="W540"/>
  <c r="AE540" s="1"/>
  <c r="I2897"/>
  <c r="K2897" s="1"/>
  <c r="K503"/>
  <c r="W489"/>
  <c r="AE489" s="1"/>
  <c r="J665"/>
  <c r="I1093"/>
  <c r="P1074"/>
  <c r="K1078"/>
  <c r="R1046"/>
  <c r="P1047"/>
  <c r="R1047" s="1"/>
  <c r="I1200"/>
  <c r="K1200" s="1"/>
  <c r="K1211" s="1"/>
  <c r="K1213" s="1"/>
  <c r="I2441" s="1"/>
  <c r="K2441" s="1"/>
  <c r="I1405"/>
  <c r="K1405" s="1"/>
  <c r="K1412" s="1"/>
  <c r="K1414" s="1"/>
  <c r="I487"/>
  <c r="K487" s="1"/>
  <c r="K495" s="1"/>
  <c r="K497" s="1"/>
  <c r="I445"/>
  <c r="K445" s="1"/>
  <c r="K452" s="1"/>
  <c r="K454" s="1"/>
  <c r="I459" s="1"/>
  <c r="K459" s="1"/>
  <c r="K463" s="1"/>
  <c r="K465" s="1"/>
  <c r="K467" s="1"/>
  <c r="I411"/>
  <c r="K411" s="1"/>
  <c r="K418" s="1"/>
  <c r="K420" s="1"/>
  <c r="P164"/>
  <c r="R164" s="1"/>
  <c r="AS133"/>
  <c r="AS108"/>
  <c r="AU108" s="1"/>
  <c r="P362"/>
  <c r="R362" s="1"/>
  <c r="R370" s="1"/>
  <c r="R372" s="1"/>
  <c r="I356"/>
  <c r="P232"/>
  <c r="R232" s="1"/>
  <c r="R238" s="1"/>
  <c r="R240" s="1"/>
  <c r="I380"/>
  <c r="P2355"/>
  <c r="R2355" s="1"/>
  <c r="R2357" s="1"/>
  <c r="R2346"/>
  <c r="I2864"/>
  <c r="K2864" s="1"/>
  <c r="I3600"/>
  <c r="K3600" s="1"/>
  <c r="K3610" s="1"/>
  <c r="K3612" s="1"/>
  <c r="AG2787"/>
  <c r="AI2787" s="1"/>
  <c r="P2821"/>
  <c r="K2814"/>
  <c r="P1536"/>
  <c r="R1536" s="1"/>
  <c r="R1493"/>
  <c r="V1454"/>
  <c r="V1302"/>
  <c r="AD1191"/>
  <c r="AF1191" s="1"/>
  <c r="R1335"/>
  <c r="P3550"/>
  <c r="R3550" s="1"/>
  <c r="R3534"/>
  <c r="AG424"/>
  <c r="AI424" s="1"/>
  <c r="AI388"/>
  <c r="P641"/>
  <c r="R641" s="1"/>
  <c r="R645" s="1"/>
  <c r="P50"/>
  <c r="R50" s="1"/>
  <c r="P2155"/>
  <c r="R2155" s="1"/>
  <c r="K2148"/>
  <c r="AW107"/>
  <c r="AX107"/>
  <c r="V1409"/>
  <c r="X1393"/>
  <c r="K2015"/>
  <c r="R87"/>
  <c r="R89" s="1"/>
  <c r="R3071"/>
  <c r="R3073" s="1"/>
  <c r="AG339"/>
  <c r="AI339" s="1"/>
  <c r="X339"/>
  <c r="P1265"/>
  <c r="R1223"/>
  <c r="T1223" s="1"/>
  <c r="I3640"/>
  <c r="K3640" s="1"/>
  <c r="K3647" s="1"/>
  <c r="K3648" s="1"/>
  <c r="K1645"/>
  <c r="K2255"/>
  <c r="K2288" s="1"/>
  <c r="L2221"/>
  <c r="M2256"/>
  <c r="V3577"/>
  <c r="X3561"/>
  <c r="P1452"/>
  <c r="R1436"/>
  <c r="R1438" s="1"/>
  <c r="V1284"/>
  <c r="X1284" s="1"/>
  <c r="K1255"/>
  <c r="I987"/>
  <c r="K987" s="1"/>
  <c r="I1017"/>
  <c r="I952"/>
  <c r="K952" s="1"/>
  <c r="K96"/>
  <c r="K99" s="1"/>
  <c r="K101" s="1"/>
  <c r="M96"/>
  <c r="M97" s="1"/>
  <c r="I612"/>
  <c r="K612"/>
  <c r="X806"/>
  <c r="V821"/>
  <c r="X821" s="1"/>
  <c r="X360"/>
  <c r="AG369"/>
  <c r="AI369" s="1"/>
  <c r="I3491"/>
  <c r="K3491" s="1"/>
  <c r="I2872"/>
  <c r="K2872" s="1"/>
  <c r="I2671"/>
  <c r="I1136"/>
  <c r="P1174"/>
  <c r="R1174" s="1"/>
  <c r="R1143"/>
  <c r="V1456"/>
  <c r="R1495"/>
  <c r="P3471"/>
  <c r="R3471" s="1"/>
  <c r="K3465"/>
  <c r="I3832"/>
  <c r="K3832" s="1"/>
  <c r="I3807"/>
  <c r="K3807" s="1"/>
  <c r="K3812" s="1"/>
  <c r="K3814" s="1"/>
  <c r="AD1332"/>
  <c r="AE1332" s="1"/>
  <c r="AE1336" s="1"/>
  <c r="AE1337" s="1"/>
  <c r="I1271"/>
  <c r="I211"/>
  <c r="K211" s="1"/>
  <c r="P319"/>
  <c r="R319" s="1"/>
  <c r="R325" s="1"/>
  <c r="R327" s="1"/>
  <c r="P307"/>
  <c r="R307" s="1"/>
  <c r="R313" s="1"/>
  <c r="R315" s="1"/>
  <c r="P66"/>
  <c r="R66" s="1"/>
  <c r="P2432"/>
  <c r="R2432" s="1"/>
  <c r="K2425"/>
  <c r="I3587"/>
  <c r="K3587" s="1"/>
  <c r="K3589" s="1"/>
  <c r="K3590" s="1"/>
  <c r="J3592" s="1"/>
  <c r="J3593" s="1"/>
  <c r="J3594" s="1"/>
  <c r="J3595" s="1"/>
  <c r="K3578"/>
  <c r="K3580" s="1"/>
  <c r="K3581" s="1"/>
  <c r="K3591" s="1"/>
  <c r="I3592" s="1"/>
  <c r="P3261"/>
  <c r="R3192"/>
  <c r="I1586"/>
  <c r="K1586" s="1"/>
  <c r="K1593" s="1"/>
  <c r="K1595" s="1"/>
  <c r="I1613"/>
  <c r="AS90"/>
  <c r="AU66"/>
  <c r="V195"/>
  <c r="X195" s="1"/>
  <c r="I195"/>
  <c r="K4010"/>
  <c r="I4025"/>
  <c r="P1539"/>
  <c r="R1539" s="1"/>
  <c r="R1219"/>
  <c r="T1219" s="1"/>
  <c r="P1261"/>
  <c r="P1224"/>
  <c r="R1220"/>
  <c r="T1220" s="1"/>
  <c r="P1225"/>
  <c r="P1262"/>
  <c r="W590"/>
  <c r="R22"/>
  <c r="I3101"/>
  <c r="K3101" s="1"/>
  <c r="K3112" s="1"/>
  <c r="K3114" s="1"/>
  <c r="P2670"/>
  <c r="K2663"/>
  <c r="AG2658"/>
  <c r="AI2658" s="1"/>
  <c r="X2610"/>
  <c r="AA2608"/>
  <c r="AG2624"/>
  <c r="AI2624" s="1"/>
  <c r="P1483"/>
  <c r="R1476"/>
  <c r="V1437"/>
  <c r="V410"/>
  <c r="X410" s="1"/>
  <c r="X379"/>
  <c r="H3873"/>
  <c r="J3873" s="1"/>
  <c r="J3878" s="1"/>
  <c r="J3880" s="1"/>
  <c r="J3852"/>
  <c r="J3857" s="1"/>
  <c r="J3859" s="1"/>
  <c r="P2348"/>
  <c r="R2348" s="1"/>
  <c r="K140"/>
  <c r="K144" s="1"/>
  <c r="P1114"/>
  <c r="R1114" s="1"/>
  <c r="R1093"/>
  <c r="X395"/>
  <c r="V427"/>
  <c r="X427" s="1"/>
  <c r="AF1369"/>
  <c r="AD1386"/>
  <c r="AF1386" s="1"/>
  <c r="V1421"/>
  <c r="X1421" s="1"/>
  <c r="R1460"/>
  <c r="P1491"/>
  <c r="R1260"/>
  <c r="V1301"/>
  <c r="P1237"/>
  <c r="R1237" s="1"/>
  <c r="V1240"/>
  <c r="AI391"/>
  <c r="AG427"/>
  <c r="AI427" s="1"/>
  <c r="P1602"/>
  <c r="R1602" s="1"/>
  <c r="R1607" s="1"/>
  <c r="R1609" s="1"/>
  <c r="C878" s="1"/>
  <c r="K1601"/>
  <c r="K1606" s="1"/>
  <c r="K1608" s="1"/>
  <c r="K1310"/>
  <c r="K1312" s="1"/>
  <c r="K3083"/>
  <c r="K3085" s="1"/>
  <c r="R405"/>
  <c r="R407" s="1"/>
  <c r="P414" s="1"/>
  <c r="R414" s="1"/>
  <c r="R416" s="1"/>
  <c r="R418" s="1"/>
  <c r="AD554"/>
  <c r="AF554" s="1"/>
  <c r="AF530"/>
  <c r="I226"/>
  <c r="K226" s="1"/>
  <c r="P51"/>
  <c r="R51" s="1"/>
  <c r="K3147"/>
  <c r="K3157" s="1"/>
  <c r="K3159" s="1"/>
  <c r="P3154"/>
  <c r="K3989"/>
  <c r="I3990"/>
  <c r="K3990" s="1"/>
  <c r="R1499"/>
  <c r="V1460"/>
  <c r="V414"/>
  <c r="X414" s="1"/>
  <c r="AG392"/>
  <c r="X383"/>
  <c r="J563"/>
  <c r="W564"/>
  <c r="AE564" s="1"/>
  <c r="X3589"/>
  <c r="V3606"/>
  <c r="R1862"/>
  <c r="P1893"/>
  <c r="R1893" s="1"/>
  <c r="V1397"/>
  <c r="X1380"/>
  <c r="X1382" s="1"/>
  <c r="X884"/>
  <c r="V900"/>
  <c r="X900" s="1"/>
  <c r="I3996"/>
  <c r="AD1378"/>
  <c r="AF1361"/>
  <c r="AF1363" s="1"/>
  <c r="R1461"/>
  <c r="P1492"/>
  <c r="V1422"/>
  <c r="X1422" s="1"/>
  <c r="R943"/>
  <c r="P944"/>
  <c r="R944" s="1"/>
  <c r="P180"/>
  <c r="R180" s="1"/>
  <c r="I336"/>
  <c r="AS88"/>
  <c r="AU88" s="1"/>
  <c r="K4019"/>
  <c r="I4020"/>
  <c r="K2353"/>
  <c r="L2318"/>
  <c r="AG2789"/>
  <c r="AI2789" s="1"/>
  <c r="P2824"/>
  <c r="V2785"/>
  <c r="X2785" s="1"/>
  <c r="K2817"/>
  <c r="K3661"/>
  <c r="K3675" s="1"/>
  <c r="K3677" s="1"/>
  <c r="I3682"/>
  <c r="K3682" s="1"/>
  <c r="K3695" s="1"/>
  <c r="K3697" s="1"/>
  <c r="AS65"/>
  <c r="X313"/>
  <c r="AG313"/>
  <c r="AI313" s="1"/>
  <c r="I2938"/>
  <c r="K2938" s="1"/>
  <c r="I2929"/>
  <c r="AF1374"/>
  <c r="AD1391"/>
  <c r="AF1391" s="1"/>
  <c r="V3162"/>
  <c r="X3162" s="1"/>
  <c r="X3137"/>
  <c r="P3370"/>
  <c r="R3335"/>
  <c r="R1861"/>
  <c r="R1868" s="1"/>
  <c r="R1870" s="1"/>
  <c r="P1879" s="1"/>
  <c r="R1879" s="1"/>
  <c r="R1881" s="1"/>
  <c r="P1892"/>
  <c r="R1892" s="1"/>
  <c r="X3541"/>
  <c r="V3557"/>
  <c r="X800"/>
  <c r="V815"/>
  <c r="X815" s="1"/>
  <c r="V1300"/>
  <c r="R1334"/>
  <c r="AD1190"/>
  <c r="R2018"/>
  <c r="K2612"/>
  <c r="K2615" s="1"/>
  <c r="M2615" s="1"/>
  <c r="K3064"/>
  <c r="K3066" s="1"/>
  <c r="K1651"/>
  <c r="K1653" s="1"/>
  <c r="K1580"/>
  <c r="K1582" s="1"/>
  <c r="X1459"/>
  <c r="AD1457"/>
  <c r="AF1457" s="1"/>
  <c r="P3258"/>
  <c r="R3258" s="1"/>
  <c r="P3222"/>
  <c r="P3292"/>
  <c r="R3189"/>
  <c r="R3201" s="1"/>
  <c r="R3203" s="1"/>
  <c r="V3721"/>
  <c r="X3721" s="1"/>
  <c r="X3707"/>
  <c r="X1455"/>
  <c r="AD1453"/>
  <c r="AF1453" s="1"/>
  <c r="I1322"/>
  <c r="K1322" s="1"/>
  <c r="P9"/>
  <c r="R9" s="1"/>
  <c r="R14" s="1"/>
  <c r="P23"/>
  <c r="X1402"/>
  <c r="AD1400"/>
  <c r="V644"/>
  <c r="K809"/>
  <c r="V802"/>
  <c r="I3183"/>
  <c r="K3170"/>
  <c r="V820"/>
  <c r="X820" s="1"/>
  <c r="X805"/>
  <c r="V415"/>
  <c r="X415" s="1"/>
  <c r="X384"/>
  <c r="AG393"/>
  <c r="R2820"/>
  <c r="P2853"/>
  <c r="R2853" s="1"/>
  <c r="X3683"/>
  <c r="V3701"/>
  <c r="K3432"/>
  <c r="K3434" s="1"/>
  <c r="I2898"/>
  <c r="K2898" s="1"/>
  <c r="K504"/>
  <c r="R3221"/>
  <c r="P3435"/>
  <c r="R3435" s="1"/>
  <c r="P3323"/>
  <c r="R3323" s="1"/>
  <c r="P1144"/>
  <c r="K808"/>
  <c r="V803"/>
  <c r="V643"/>
  <c r="AE1201"/>
  <c r="AL1200"/>
  <c r="P1465"/>
  <c r="R1448"/>
  <c r="AD1401"/>
  <c r="X1403"/>
  <c r="V899"/>
  <c r="X899" s="1"/>
  <c r="X883"/>
  <c r="I3388"/>
  <c r="I3478" s="1"/>
  <c r="K3478" s="1"/>
  <c r="K3494" s="1"/>
  <c r="I1128"/>
  <c r="K1128" s="1"/>
  <c r="I1102"/>
  <c r="I1071"/>
  <c r="K1071" s="1"/>
  <c r="I1086"/>
  <c r="K1086" s="1"/>
  <c r="I928"/>
  <c r="K928" s="1"/>
  <c r="K930" s="1"/>
  <c r="I1016"/>
  <c r="K1016" s="1"/>
  <c r="I1054"/>
  <c r="I986"/>
  <c r="K986" s="1"/>
  <c r="K998" s="1"/>
  <c r="K1000" s="1"/>
  <c r="I951"/>
  <c r="K951" s="1"/>
  <c r="K962" s="1"/>
  <c r="K964" s="1"/>
  <c r="P211"/>
  <c r="R211" s="1"/>
  <c r="R221" s="1"/>
  <c r="R224" s="1"/>
  <c r="V1419"/>
  <c r="X1419" s="1"/>
  <c r="P1475"/>
  <c r="R1458"/>
  <c r="P1489"/>
  <c r="AG337"/>
  <c r="AI337" s="1"/>
  <c r="X337"/>
  <c r="V3689"/>
  <c r="X3689" s="1"/>
  <c r="X3659"/>
  <c r="X3667" s="1"/>
  <c r="X3668" s="1"/>
  <c r="V412"/>
  <c r="X412" s="1"/>
  <c r="X381"/>
  <c r="AG390"/>
  <c r="X315"/>
  <c r="AG315"/>
  <c r="AI315" s="1"/>
  <c r="AS67"/>
  <c r="V675"/>
  <c r="X675" s="1"/>
  <c r="X705"/>
  <c r="AG2649"/>
  <c r="AI2649" s="1"/>
  <c r="AG2615"/>
  <c r="AI2615" s="1"/>
  <c r="AA2599"/>
  <c r="X2601"/>
  <c r="I225"/>
  <c r="K225" s="1"/>
  <c r="C82"/>
  <c r="I1321" s="1"/>
  <c r="K1321" s="1"/>
  <c r="C166"/>
  <c r="I2899"/>
  <c r="K2899" s="1"/>
  <c r="K505"/>
  <c r="I2410"/>
  <c r="K2398"/>
  <c r="K2403" s="1"/>
  <c r="AW132"/>
  <c r="AX132" s="1"/>
  <c r="P1894"/>
  <c r="R1894" s="1"/>
  <c r="R1863"/>
  <c r="R2037"/>
  <c r="K2875"/>
  <c r="K2877" s="1"/>
  <c r="K3174" l="1"/>
  <c r="K3175" s="1"/>
  <c r="R72"/>
  <c r="R74" s="1"/>
  <c r="P653" s="1"/>
  <c r="R653" s="1"/>
  <c r="AI319"/>
  <c r="AI321" s="1"/>
  <c r="AI323" s="1"/>
  <c r="AI324" s="1"/>
  <c r="R1899"/>
  <c r="R1901" s="1"/>
  <c r="P1910" s="1"/>
  <c r="R1910" s="1"/>
  <c r="R1912" s="1"/>
  <c r="X319"/>
  <c r="X321" s="1"/>
  <c r="X323" s="1"/>
  <c r="Z323" s="1"/>
  <c r="R955"/>
  <c r="R957" s="1"/>
  <c r="L2691"/>
  <c r="X324"/>
  <c r="AJ323"/>
  <c r="P3395"/>
  <c r="R3395" s="1"/>
  <c r="P3361"/>
  <c r="R3361" s="1"/>
  <c r="R3292"/>
  <c r="AA705"/>
  <c r="K4020"/>
  <c r="I4021"/>
  <c r="K4021" s="1"/>
  <c r="AI392"/>
  <c r="AG428"/>
  <c r="AI428" s="1"/>
  <c r="K102"/>
  <c r="K104"/>
  <c r="K105" s="1"/>
  <c r="P597"/>
  <c r="R597" s="1"/>
  <c r="P611"/>
  <c r="R611" s="1"/>
  <c r="P654"/>
  <c r="R654" s="1"/>
  <c r="K380"/>
  <c r="K387" s="1"/>
  <c r="K389" s="1"/>
  <c r="I394" s="1"/>
  <c r="K394" s="1"/>
  <c r="K398" s="1"/>
  <c r="K400" s="1"/>
  <c r="K402" s="1"/>
  <c r="V380"/>
  <c r="V3607"/>
  <c r="X3590"/>
  <c r="I3269"/>
  <c r="K3269" s="1"/>
  <c r="L3235" s="1"/>
  <c r="I3255"/>
  <c r="K3255" s="1"/>
  <c r="K3184"/>
  <c r="P2344"/>
  <c r="R2344" s="1"/>
  <c r="I1767"/>
  <c r="K1767" s="1"/>
  <c r="K1775" s="1"/>
  <c r="K91"/>
  <c r="AD1417"/>
  <c r="AF1417" s="1"/>
  <c r="AF1400"/>
  <c r="AU65"/>
  <c r="AS89"/>
  <c r="I3921"/>
  <c r="I878"/>
  <c r="R1491"/>
  <c r="V1452"/>
  <c r="P1614"/>
  <c r="R1614" s="1"/>
  <c r="R1619" s="1"/>
  <c r="R1621" s="1"/>
  <c r="K1613"/>
  <c r="K1618" s="1"/>
  <c r="K1620" s="1"/>
  <c r="R1452"/>
  <c r="R1454" s="1"/>
  <c r="R1455" s="1"/>
  <c r="P1469"/>
  <c r="X1409"/>
  <c r="AD1407"/>
  <c r="I426"/>
  <c r="K426" s="1"/>
  <c r="K430" s="1"/>
  <c r="K432" s="1"/>
  <c r="K434" s="1"/>
  <c r="K435" s="1"/>
  <c r="K436" s="1"/>
  <c r="K437" s="1"/>
  <c r="K438" s="1"/>
  <c r="P267"/>
  <c r="R267" s="1"/>
  <c r="R271" s="1"/>
  <c r="R273" s="1"/>
  <c r="R275" s="1"/>
  <c r="R276" s="1"/>
  <c r="R277" s="1"/>
  <c r="R278" s="1"/>
  <c r="P1100"/>
  <c r="R1074"/>
  <c r="V1323"/>
  <c r="X1323" s="1"/>
  <c r="X1303"/>
  <c r="P1111"/>
  <c r="R1111" s="1"/>
  <c r="R1089"/>
  <c r="K1249"/>
  <c r="K1262" s="1"/>
  <c r="K1264" s="1"/>
  <c r="V1278"/>
  <c r="X1278" s="1"/>
  <c r="X1291" s="1"/>
  <c r="X1293" s="1"/>
  <c r="K1079"/>
  <c r="K1081" s="1"/>
  <c r="K217"/>
  <c r="K219" s="1"/>
  <c r="K2410"/>
  <c r="K2415" s="1"/>
  <c r="I2443"/>
  <c r="K2443" s="1"/>
  <c r="AD1418"/>
  <c r="AF1418" s="1"/>
  <c r="AF1401"/>
  <c r="P1175"/>
  <c r="R1175" s="1"/>
  <c r="R1144"/>
  <c r="K14"/>
  <c r="N14"/>
  <c r="P612"/>
  <c r="R612" s="1"/>
  <c r="P655"/>
  <c r="R655" s="1"/>
  <c r="P598"/>
  <c r="R598" s="1"/>
  <c r="V1426"/>
  <c r="X1426" s="1"/>
  <c r="R1465"/>
  <c r="P1496"/>
  <c r="P1482"/>
  <c r="V1436"/>
  <c r="R1475"/>
  <c r="AF644"/>
  <c r="AH644" s="1"/>
  <c r="V707"/>
  <c r="X644"/>
  <c r="I2937"/>
  <c r="K2937" s="1"/>
  <c r="I2928"/>
  <c r="V1320"/>
  <c r="X1320" s="1"/>
  <c r="X1300"/>
  <c r="R3370"/>
  <c r="P3404"/>
  <c r="J564"/>
  <c r="J565" s="1"/>
  <c r="J566" s="1"/>
  <c r="J567" s="1"/>
  <c r="J568" s="1"/>
  <c r="J569" s="1"/>
  <c r="J570" s="1"/>
  <c r="J571" s="1"/>
  <c r="W565"/>
  <c r="AE565" s="1"/>
  <c r="R3154"/>
  <c r="V3114"/>
  <c r="X1437"/>
  <c r="AD1435"/>
  <c r="AF1435" s="1"/>
  <c r="P1238"/>
  <c r="R1238" s="1"/>
  <c r="R1261"/>
  <c r="V1241"/>
  <c r="AU90"/>
  <c r="AS110"/>
  <c r="K2671"/>
  <c r="K2674" s="1"/>
  <c r="K2676" s="1"/>
  <c r="P2678"/>
  <c r="X1454"/>
  <c r="AD1452"/>
  <c r="AF1452" s="1"/>
  <c r="V3587"/>
  <c r="X3572"/>
  <c r="I1377"/>
  <c r="K1377" s="1"/>
  <c r="I1355"/>
  <c r="K1355" s="1"/>
  <c r="V1333"/>
  <c r="X1333" s="1"/>
  <c r="AF1403"/>
  <c r="AD1420"/>
  <c r="AF1420" s="1"/>
  <c r="AG404"/>
  <c r="AI404" s="1"/>
  <c r="AI390"/>
  <c r="AG426"/>
  <c r="AG429"/>
  <c r="AI429" s="1"/>
  <c r="AI393"/>
  <c r="X1301"/>
  <c r="V1321"/>
  <c r="X1321" s="1"/>
  <c r="R1224"/>
  <c r="T1224" s="1"/>
  <c r="P1266"/>
  <c r="I3531"/>
  <c r="K1136"/>
  <c r="K1139" s="1"/>
  <c r="K1141" s="1"/>
  <c r="I613"/>
  <c r="K613"/>
  <c r="X1302"/>
  <c r="V1322"/>
  <c r="X1322" s="1"/>
  <c r="AS164"/>
  <c r="AU164" s="1"/>
  <c r="AU133"/>
  <c r="I3960"/>
  <c r="K3944"/>
  <c r="I3197"/>
  <c r="K3182"/>
  <c r="P1263"/>
  <c r="R1221"/>
  <c r="T1221" s="1"/>
  <c r="V196"/>
  <c r="X196" s="1"/>
  <c r="X202" s="1"/>
  <c r="X204" s="1"/>
  <c r="R196"/>
  <c r="R202"/>
  <c r="R204" s="1"/>
  <c r="R57"/>
  <c r="R60" s="1"/>
  <c r="R1057"/>
  <c r="R1059" s="1"/>
  <c r="K2156"/>
  <c r="K2158" s="1"/>
  <c r="K815"/>
  <c r="K817" s="1"/>
  <c r="AW108"/>
  <c r="AX108"/>
  <c r="X3701"/>
  <c r="X3709" s="1"/>
  <c r="X3710" s="1"/>
  <c r="V3715"/>
  <c r="X3715" s="1"/>
  <c r="X3723" s="1"/>
  <c r="X3724" s="1"/>
  <c r="V818"/>
  <c r="X818" s="1"/>
  <c r="X803"/>
  <c r="AF1190"/>
  <c r="AK1190"/>
  <c r="AM1190" s="1"/>
  <c r="P2857"/>
  <c r="R2857" s="1"/>
  <c r="R2824"/>
  <c r="I4012"/>
  <c r="K3996"/>
  <c r="K3998" s="1"/>
  <c r="K3999" s="1"/>
  <c r="J542"/>
  <c r="W541"/>
  <c r="AE541" s="1"/>
  <c r="P1373"/>
  <c r="R1373" s="1"/>
  <c r="R1333"/>
  <c r="R1338" s="1"/>
  <c r="R1340" s="1"/>
  <c r="R1341" s="1"/>
  <c r="R1342" s="1"/>
  <c r="R1343" s="1"/>
  <c r="R1344" s="1"/>
  <c r="R1345" s="1"/>
  <c r="Q1341" s="1"/>
  <c r="Q1342" s="1"/>
  <c r="V1299"/>
  <c r="V1332"/>
  <c r="X1332" s="1"/>
  <c r="X1345" s="1"/>
  <c r="X1347" s="1"/>
  <c r="AD1189"/>
  <c r="AG1063"/>
  <c r="AI1063" s="1"/>
  <c r="AI1073" s="1"/>
  <c r="AI1075" s="1"/>
  <c r="P1090"/>
  <c r="K1054"/>
  <c r="K1064" s="1"/>
  <c r="K1066" s="1"/>
  <c r="P988"/>
  <c r="R988" s="1"/>
  <c r="R998" s="1"/>
  <c r="R1000" s="1"/>
  <c r="P1065"/>
  <c r="R1065" s="1"/>
  <c r="R1075" s="1"/>
  <c r="R1077" s="1"/>
  <c r="I2948"/>
  <c r="K2929"/>
  <c r="K336"/>
  <c r="K343" s="1"/>
  <c r="K345" s="1"/>
  <c r="K347" s="1"/>
  <c r="V336"/>
  <c r="AD1395"/>
  <c r="AF1395" s="1"/>
  <c r="AF1378"/>
  <c r="V3621"/>
  <c r="X3622" s="1"/>
  <c r="X3606"/>
  <c r="AD1245"/>
  <c r="X1240"/>
  <c r="P1267"/>
  <c r="R1225"/>
  <c r="T1225" s="1"/>
  <c r="K195"/>
  <c r="K202" s="1"/>
  <c r="K204" s="1"/>
  <c r="I1781" s="1"/>
  <c r="K1781" s="1"/>
  <c r="K1790" s="1"/>
  <c r="P163"/>
  <c r="R163" s="1"/>
  <c r="R170" s="1"/>
  <c r="R172" s="1"/>
  <c r="I1285"/>
  <c r="K1285" s="1"/>
  <c r="K1290" s="1"/>
  <c r="K1292" s="1"/>
  <c r="K1271"/>
  <c r="K1276" s="1"/>
  <c r="K1278" s="1"/>
  <c r="AD1264"/>
  <c r="AF1264" s="1"/>
  <c r="AF1269" s="1"/>
  <c r="AF1271" s="1"/>
  <c r="P1242"/>
  <c r="R1242" s="1"/>
  <c r="R1265"/>
  <c r="V1245"/>
  <c r="P1381"/>
  <c r="R1381" s="1"/>
  <c r="I3963"/>
  <c r="K3947"/>
  <c r="I2341"/>
  <c r="K2341" s="1"/>
  <c r="K2343" s="1"/>
  <c r="P656"/>
  <c r="R656" s="1"/>
  <c r="I637"/>
  <c r="K637" s="1"/>
  <c r="K641" s="1"/>
  <c r="K643" s="1"/>
  <c r="K285"/>
  <c r="K287" s="1"/>
  <c r="K288" s="1"/>
  <c r="K289" s="1"/>
  <c r="K290" s="1"/>
  <c r="K291" s="1"/>
  <c r="V1239"/>
  <c r="P1236"/>
  <c r="R1236" s="1"/>
  <c r="R1259"/>
  <c r="L1412"/>
  <c r="K1440"/>
  <c r="K1442" s="1"/>
  <c r="I1989" s="1"/>
  <c r="K2905"/>
  <c r="K2907" s="1"/>
  <c r="K2911" s="1"/>
  <c r="K2913" s="1"/>
  <c r="R2163"/>
  <c r="R2165" s="1"/>
  <c r="K232"/>
  <c r="K234" s="1"/>
  <c r="AF1380"/>
  <c r="K3592"/>
  <c r="I3593" s="1"/>
  <c r="K3593" s="1"/>
  <c r="I3594" s="1"/>
  <c r="K3594" s="1"/>
  <c r="I3595" s="1"/>
  <c r="K3595" s="1"/>
  <c r="K2446"/>
  <c r="K2448" s="1"/>
  <c r="K511"/>
  <c r="K513" s="1"/>
  <c r="W593"/>
  <c r="W592"/>
  <c r="W591"/>
  <c r="R23"/>
  <c r="R28" s="1"/>
  <c r="R30" s="1"/>
  <c r="V3573"/>
  <c r="X3557"/>
  <c r="K4025"/>
  <c r="I4036"/>
  <c r="K4036" s="1"/>
  <c r="V1450"/>
  <c r="R1489"/>
  <c r="P1535"/>
  <c r="R1535" s="1"/>
  <c r="R1543" s="1"/>
  <c r="R1545" s="1"/>
  <c r="S1545" s="1"/>
  <c r="X802"/>
  <c r="X811" s="1"/>
  <c r="V817"/>
  <c r="X817" s="1"/>
  <c r="X826" s="1"/>
  <c r="AA815" s="1"/>
  <c r="AA816" s="1"/>
  <c r="AA817" s="1"/>
  <c r="AA818" s="1"/>
  <c r="AA819" s="1"/>
  <c r="AA820" s="1"/>
  <c r="AA821" s="1"/>
  <c r="AA822" s="1"/>
  <c r="AA823" s="1"/>
  <c r="AA824" s="1"/>
  <c r="AS92"/>
  <c r="AU68"/>
  <c r="AU71" s="1"/>
  <c r="AU73" s="1"/>
  <c r="AU75" s="1"/>
  <c r="AU76" s="1"/>
  <c r="AU77" s="1"/>
  <c r="AU78" s="1"/>
  <c r="AU79" s="1"/>
  <c r="X643"/>
  <c r="X650" s="1"/>
  <c r="X652" s="1"/>
  <c r="X654" s="1"/>
  <c r="AF643"/>
  <c r="AH643" s="1"/>
  <c r="AH650" s="1"/>
  <c r="AH652" s="1"/>
  <c r="AH654" s="1"/>
  <c r="V708"/>
  <c r="I3268"/>
  <c r="K3268" s="1"/>
  <c r="L3234" s="1"/>
  <c r="I3254"/>
  <c r="K3254" s="1"/>
  <c r="K3258" s="1"/>
  <c r="K3260" s="1"/>
  <c r="K3183"/>
  <c r="AU67"/>
  <c r="AS91"/>
  <c r="AL1201"/>
  <c r="AE1202"/>
  <c r="P3436"/>
  <c r="R3436" s="1"/>
  <c r="P3324"/>
  <c r="R3324" s="1"/>
  <c r="R3337" s="1"/>
  <c r="R3339" s="1"/>
  <c r="R3222"/>
  <c r="R3236" s="1"/>
  <c r="R3238" s="1"/>
  <c r="X1460"/>
  <c r="AD1458"/>
  <c r="AF1458" s="1"/>
  <c r="V1242"/>
  <c r="R1262"/>
  <c r="P1239"/>
  <c r="R1239" s="1"/>
  <c r="I3321"/>
  <c r="K3321" s="1"/>
  <c r="K3329" s="1"/>
  <c r="K3331" s="1"/>
  <c r="R3261"/>
  <c r="R3270" s="1"/>
  <c r="R3272" s="1"/>
  <c r="X1456"/>
  <c r="AD1454"/>
  <c r="AF1454" s="1"/>
  <c r="P1091"/>
  <c r="K1017"/>
  <c r="K1028" s="1"/>
  <c r="K1030" s="1"/>
  <c r="P2854"/>
  <c r="R2854" s="1"/>
  <c r="R2821"/>
  <c r="K356"/>
  <c r="K363" s="1"/>
  <c r="K365" s="1"/>
  <c r="K367" s="1"/>
  <c r="V356"/>
  <c r="AG2650"/>
  <c r="AI2650" s="1"/>
  <c r="AG2616"/>
  <c r="AI2616" s="1"/>
  <c r="AI2627" s="1"/>
  <c r="AI2629" s="1"/>
  <c r="AA2600"/>
  <c r="AA2610" s="1"/>
  <c r="AA2611" s="1"/>
  <c r="X2602"/>
  <c r="R1490"/>
  <c r="V1451"/>
  <c r="K3945"/>
  <c r="I3961"/>
  <c r="I2383"/>
  <c r="K2383" s="1"/>
  <c r="K2390" s="1"/>
  <c r="K2392" s="1"/>
  <c r="I1731"/>
  <c r="K1731" s="1"/>
  <c r="K1734" s="1"/>
  <c r="K1736" s="1"/>
  <c r="I1741" s="1"/>
  <c r="K1741" s="1"/>
  <c r="K1744" s="1"/>
  <c r="K1746" s="1"/>
  <c r="I1720"/>
  <c r="K1720" s="1"/>
  <c r="K1725" s="1"/>
  <c r="K1727" s="1"/>
  <c r="P625"/>
  <c r="R625" s="1"/>
  <c r="P624"/>
  <c r="R624" s="1"/>
  <c r="K323"/>
  <c r="I3822"/>
  <c r="K3822" s="1"/>
  <c r="K3835" s="1"/>
  <c r="K3837" s="1"/>
  <c r="P3461"/>
  <c r="R3461" s="1"/>
  <c r="R3474" s="1"/>
  <c r="R3476" s="1"/>
  <c r="K3455"/>
  <c r="K3468" s="1"/>
  <c r="K3470" s="1"/>
  <c r="K1328"/>
  <c r="K1330" s="1"/>
  <c r="I1987" s="1"/>
  <c r="X3695"/>
  <c r="X3696" s="1"/>
  <c r="AF1397"/>
  <c r="K1363"/>
  <c r="K1365" s="1"/>
  <c r="X3577"/>
  <c r="V3592"/>
  <c r="W490"/>
  <c r="AE490" s="1"/>
  <c r="J666"/>
  <c r="J667" s="1"/>
  <c r="J668" s="1"/>
  <c r="J669" s="1"/>
  <c r="J670" s="1"/>
  <c r="V3562"/>
  <c r="X3546"/>
  <c r="AF1402"/>
  <c r="AD1419"/>
  <c r="AF1419" s="1"/>
  <c r="P1172"/>
  <c r="R1172" s="1"/>
  <c r="R1183" s="1"/>
  <c r="R1184" s="1"/>
  <c r="R1185" s="1"/>
  <c r="R1141"/>
  <c r="V3547"/>
  <c r="V3563" s="1"/>
  <c r="AG3547"/>
  <c r="P2855"/>
  <c r="R2855" s="1"/>
  <c r="R2822"/>
  <c r="P1216"/>
  <c r="K1220"/>
  <c r="K1238" s="1"/>
  <c r="K1241" s="1"/>
  <c r="P284" s="1"/>
  <c r="R284" s="1"/>
  <c r="R289" s="1"/>
  <c r="R291" s="1"/>
  <c r="P2431"/>
  <c r="R2431" s="1"/>
  <c r="R2440" s="1"/>
  <c r="R2442" s="1"/>
  <c r="K2424"/>
  <c r="K2433" s="1"/>
  <c r="K2435" s="1"/>
  <c r="I3280"/>
  <c r="K1102"/>
  <c r="V1453"/>
  <c r="R1492"/>
  <c r="V1413"/>
  <c r="X1397"/>
  <c r="X1399" s="1"/>
  <c r="R1483"/>
  <c r="V1444"/>
  <c r="K468"/>
  <c r="K469" s="1"/>
  <c r="K470" s="1"/>
  <c r="P657"/>
  <c r="R657" s="1"/>
  <c r="R672" s="1"/>
  <c r="I1108"/>
  <c r="K1108" s="1"/>
  <c r="K1093"/>
  <c r="K1095" s="1"/>
  <c r="K1097" s="1"/>
  <c r="K1385"/>
  <c r="K1387" s="1"/>
  <c r="R3303"/>
  <c r="R3305" s="1"/>
  <c r="R3372" l="1"/>
  <c r="R3374" s="1"/>
  <c r="K3187"/>
  <c r="K3188" s="1"/>
  <c r="K471"/>
  <c r="L470"/>
  <c r="AI426"/>
  <c r="AG441"/>
  <c r="AI441" s="1"/>
  <c r="V677"/>
  <c r="X677" s="1"/>
  <c r="X707"/>
  <c r="X3562"/>
  <c r="V3578"/>
  <c r="I3978"/>
  <c r="K3978" s="1"/>
  <c r="K3961"/>
  <c r="X356"/>
  <c r="X363" s="1"/>
  <c r="X365" s="1"/>
  <c r="AG365"/>
  <c r="AI365" s="1"/>
  <c r="AI372" s="1"/>
  <c r="AI374" s="1"/>
  <c r="AI376" s="1"/>
  <c r="K1989"/>
  <c r="P1989"/>
  <c r="R1989" s="1"/>
  <c r="K3197"/>
  <c r="K3200" s="1"/>
  <c r="K3202" s="1"/>
  <c r="I3211"/>
  <c r="I3242"/>
  <c r="X325"/>
  <c r="X326" s="1"/>
  <c r="X327" s="1"/>
  <c r="Z324"/>
  <c r="K1110"/>
  <c r="K1112" s="1"/>
  <c r="X1444"/>
  <c r="V1468"/>
  <c r="X1468" s="1"/>
  <c r="X1451"/>
  <c r="AD1449"/>
  <c r="AF1449" s="1"/>
  <c r="R3404"/>
  <c r="R3406" s="1"/>
  <c r="R3408" s="1"/>
  <c r="P3448"/>
  <c r="V3248"/>
  <c r="X3248" s="1"/>
  <c r="X3259" s="1"/>
  <c r="X3261" s="1"/>
  <c r="K3280"/>
  <c r="K3291" s="1"/>
  <c r="K3293" s="1"/>
  <c r="V678"/>
  <c r="X678" s="1"/>
  <c r="X708"/>
  <c r="AA708" s="1"/>
  <c r="I550"/>
  <c r="K550" s="1"/>
  <c r="K555" s="1"/>
  <c r="K557" s="1"/>
  <c r="I559" s="1"/>
  <c r="K559" s="1"/>
  <c r="I560" s="1"/>
  <c r="K560" s="1"/>
  <c r="I561" s="1"/>
  <c r="K561" s="1"/>
  <c r="I562" s="1"/>
  <c r="K562" s="1"/>
  <c r="I563" s="1"/>
  <c r="K563" s="1"/>
  <c r="I564" s="1"/>
  <c r="K564" s="1"/>
  <c r="I565" s="1"/>
  <c r="K565" s="1"/>
  <c r="I566" s="1"/>
  <c r="K566" s="1"/>
  <c r="I567" s="1"/>
  <c r="K567" s="1"/>
  <c r="I568" s="1"/>
  <c r="K568" s="1"/>
  <c r="I569" s="1"/>
  <c r="K569" s="1"/>
  <c r="I570" s="1"/>
  <c r="K570" s="1"/>
  <c r="I571" s="1"/>
  <c r="K571" s="1"/>
  <c r="I526"/>
  <c r="K526" s="1"/>
  <c r="K531" s="1"/>
  <c r="K533" s="1"/>
  <c r="I535" s="1"/>
  <c r="K535" s="1"/>
  <c r="I536" s="1"/>
  <c r="K536" s="1"/>
  <c r="I537" s="1"/>
  <c r="K537" s="1"/>
  <c r="I538" s="1"/>
  <c r="K538" s="1"/>
  <c r="I539" s="1"/>
  <c r="K539" s="1"/>
  <c r="I540" s="1"/>
  <c r="K540" s="1"/>
  <c r="I541" s="1"/>
  <c r="K541" s="1"/>
  <c r="I542" s="1"/>
  <c r="K542" s="1"/>
  <c r="I543" s="1"/>
  <c r="K517"/>
  <c r="K519" s="1"/>
  <c r="I2957"/>
  <c r="K2957" s="1"/>
  <c r="K2948"/>
  <c r="I614"/>
  <c r="K614"/>
  <c r="L1337"/>
  <c r="L1335"/>
  <c r="AU89"/>
  <c r="AS109"/>
  <c r="R1216"/>
  <c r="P1258"/>
  <c r="X3573"/>
  <c r="V3588"/>
  <c r="P630"/>
  <c r="R630" s="1"/>
  <c r="P613"/>
  <c r="R613" s="1"/>
  <c r="P599"/>
  <c r="R599" s="1"/>
  <c r="I649"/>
  <c r="K649" s="1"/>
  <c r="K655" s="1"/>
  <c r="K657" s="1"/>
  <c r="I659" s="1"/>
  <c r="K659" s="1"/>
  <c r="I660" s="1"/>
  <c r="K660" s="1"/>
  <c r="I661" s="1"/>
  <c r="K661" s="1"/>
  <c r="I662" s="1"/>
  <c r="K662" s="1"/>
  <c r="I663" s="1"/>
  <c r="K663" s="1"/>
  <c r="I664" s="1"/>
  <c r="K664" s="1"/>
  <c r="I665" s="1"/>
  <c r="K665" s="1"/>
  <c r="I666" s="1"/>
  <c r="K666" s="1"/>
  <c r="I667" s="1"/>
  <c r="K667" s="1"/>
  <c r="I668" s="1"/>
  <c r="K668" s="1"/>
  <c r="I669" s="1"/>
  <c r="K669" s="1"/>
  <c r="I670" s="1"/>
  <c r="K670" s="1"/>
  <c r="V1243"/>
  <c r="P1240"/>
  <c r="R1240" s="1"/>
  <c r="R1263"/>
  <c r="I4064"/>
  <c r="K4064" s="1"/>
  <c r="K4074" s="1"/>
  <c r="K4076" s="1"/>
  <c r="V3131"/>
  <c r="X3114"/>
  <c r="X3124" s="1"/>
  <c r="X3126" s="1"/>
  <c r="I2947"/>
  <c r="K2928"/>
  <c r="V1457"/>
  <c r="R1496"/>
  <c r="I3939"/>
  <c r="K3921"/>
  <c r="X3563"/>
  <c r="V3579"/>
  <c r="X3579" s="1"/>
  <c r="AD1448"/>
  <c r="AF1448" s="1"/>
  <c r="X1450"/>
  <c r="I3980"/>
  <c r="K3980" s="1"/>
  <c r="K3963"/>
  <c r="P3535"/>
  <c r="K3531"/>
  <c r="K368"/>
  <c r="J367"/>
  <c r="X1453"/>
  <c r="AD1451"/>
  <c r="AF1451" s="1"/>
  <c r="AD1217"/>
  <c r="AF1217" s="1"/>
  <c r="AF1245"/>
  <c r="V1319"/>
  <c r="X1319" s="1"/>
  <c r="X1326" s="1"/>
  <c r="X1328" s="1"/>
  <c r="X1299"/>
  <c r="X1306" s="1"/>
  <c r="X1308" s="1"/>
  <c r="X1309" s="1"/>
  <c r="X1310" s="1"/>
  <c r="X1311" s="1"/>
  <c r="X1312" s="1"/>
  <c r="X1313" s="1"/>
  <c r="W1309" s="1"/>
  <c r="W1310" s="1"/>
  <c r="AU110"/>
  <c r="AS135"/>
  <c r="V1430"/>
  <c r="X1430" s="1"/>
  <c r="X1432" s="1"/>
  <c r="P1477"/>
  <c r="P1500"/>
  <c r="R1469"/>
  <c r="R1471" s="1"/>
  <c r="X1413"/>
  <c r="X1415" s="1"/>
  <c r="AD1411"/>
  <c r="P1113"/>
  <c r="R1113" s="1"/>
  <c r="R1091"/>
  <c r="AS112"/>
  <c r="AU92"/>
  <c r="I2927"/>
  <c r="K2927" s="1"/>
  <c r="K2914"/>
  <c r="P1244"/>
  <c r="R1244" s="1"/>
  <c r="P1383"/>
  <c r="R1383" s="1"/>
  <c r="R1267"/>
  <c r="V1247"/>
  <c r="L347"/>
  <c r="K348"/>
  <c r="AF1189"/>
  <c r="AF1194" s="1"/>
  <c r="AF1196" s="1"/>
  <c r="AF1197" s="1"/>
  <c r="AF1198" s="1"/>
  <c r="AF1199" s="1"/>
  <c r="AF1200" s="1"/>
  <c r="AF1201" s="1"/>
  <c r="AF1202" s="1"/>
  <c r="AK1189"/>
  <c r="AM1189" s="1"/>
  <c r="AM1194" s="1"/>
  <c r="AM1196" s="1"/>
  <c r="AM1197" s="1"/>
  <c r="AM1198" s="1"/>
  <c r="AM1199" s="1"/>
  <c r="AM1200" s="1"/>
  <c r="AM1201" s="1"/>
  <c r="I4027"/>
  <c r="K4012"/>
  <c r="K4014" s="1"/>
  <c r="K4015" s="1"/>
  <c r="I1971"/>
  <c r="I1991"/>
  <c r="I2105"/>
  <c r="K2105" s="1"/>
  <c r="K2111" s="1"/>
  <c r="P596"/>
  <c r="R596" s="1"/>
  <c r="P610"/>
  <c r="R610" s="1"/>
  <c r="R617" s="1"/>
  <c r="P623"/>
  <c r="R623" s="1"/>
  <c r="R1482"/>
  <c r="V1443"/>
  <c r="AF1407"/>
  <c r="AD1424"/>
  <c r="AF1424" s="1"/>
  <c r="K878"/>
  <c r="I860"/>
  <c r="I894"/>
  <c r="K894" s="1"/>
  <c r="V878"/>
  <c r="AJ324"/>
  <c r="AI325"/>
  <c r="AI326" s="1"/>
  <c r="AI327" s="1"/>
  <c r="AJ325"/>
  <c r="L323"/>
  <c r="K324"/>
  <c r="AG336"/>
  <c r="AI336" s="1"/>
  <c r="AI343" s="1"/>
  <c r="AI345" s="1"/>
  <c r="AI347" s="1"/>
  <c r="AI348" s="1"/>
  <c r="AI349" s="1"/>
  <c r="AI350" s="1"/>
  <c r="AI351" s="1"/>
  <c r="AI352" s="1"/>
  <c r="AI353" s="1"/>
  <c r="AI354" s="1"/>
  <c r="AI355" s="1"/>
  <c r="AI356" s="1"/>
  <c r="AI357" s="1"/>
  <c r="AI358" s="1"/>
  <c r="AI359" s="1"/>
  <c r="AI360" s="1"/>
  <c r="X336"/>
  <c r="X343" s="1"/>
  <c r="X345" s="1"/>
  <c r="X347" s="1"/>
  <c r="X348" s="1"/>
  <c r="X349" s="1"/>
  <c r="X350" s="1"/>
  <c r="X351" s="1"/>
  <c r="AH655"/>
  <c r="AH657" s="1"/>
  <c r="AD1247"/>
  <c r="X1242"/>
  <c r="AS111"/>
  <c r="AU91"/>
  <c r="AD1244"/>
  <c r="X1239"/>
  <c r="X1245"/>
  <c r="AD1250"/>
  <c r="AW164"/>
  <c r="AX164" s="1"/>
  <c r="X1436"/>
  <c r="AD1434"/>
  <c r="AF1434" s="1"/>
  <c r="K403"/>
  <c r="J402"/>
  <c r="X3592"/>
  <c r="V3609"/>
  <c r="K1987"/>
  <c r="P1987"/>
  <c r="R1987" s="1"/>
  <c r="X655"/>
  <c r="X657"/>
  <c r="R1090"/>
  <c r="P1112"/>
  <c r="R1112" s="1"/>
  <c r="J543"/>
  <c r="W542"/>
  <c r="AE542" s="1"/>
  <c r="AW133"/>
  <c r="AX133" s="1"/>
  <c r="R1266"/>
  <c r="V1246"/>
  <c r="P1382"/>
  <c r="R1382" s="1"/>
  <c r="R1386" s="1"/>
  <c r="R1388" s="1"/>
  <c r="P1243"/>
  <c r="R1243" s="1"/>
  <c r="X1452"/>
  <c r="AD1450"/>
  <c r="AF1450" s="1"/>
  <c r="X380"/>
  <c r="X387" s="1"/>
  <c r="X389" s="1"/>
  <c r="V394" s="1"/>
  <c r="X394" s="1"/>
  <c r="X398" s="1"/>
  <c r="X400" s="1"/>
  <c r="X402" s="1"/>
  <c r="X403" s="1"/>
  <c r="X404" s="1"/>
  <c r="X405" s="1"/>
  <c r="X406" s="1"/>
  <c r="V411"/>
  <c r="X411" s="1"/>
  <c r="X418" s="1"/>
  <c r="X420" s="1"/>
  <c r="V426" s="1"/>
  <c r="X426" s="1"/>
  <c r="X430" s="1"/>
  <c r="X432" s="1"/>
  <c r="X434" s="1"/>
  <c r="X435" s="1"/>
  <c r="X436" s="1"/>
  <c r="X437" s="1"/>
  <c r="X438" s="1"/>
  <c r="AG389"/>
  <c r="R1152"/>
  <c r="R1156" s="1"/>
  <c r="I2992"/>
  <c r="K821"/>
  <c r="I3977"/>
  <c r="K3977" s="1"/>
  <c r="K3960"/>
  <c r="P1121"/>
  <c r="R1100"/>
  <c r="X3607"/>
  <c r="V3622"/>
  <c r="AL1202"/>
  <c r="AE1203"/>
  <c r="V3604"/>
  <c r="X3587"/>
  <c r="AD1246"/>
  <c r="X1241"/>
  <c r="K2930" l="1"/>
  <c r="K2931" s="1"/>
  <c r="AU95"/>
  <c r="AU97" s="1"/>
  <c r="AU99" s="1"/>
  <c r="R1101"/>
  <c r="R1103" s="1"/>
  <c r="AS166"/>
  <c r="AU166" s="1"/>
  <c r="AU135"/>
  <c r="I615"/>
  <c r="K615"/>
  <c r="I3226"/>
  <c r="K3226" s="1"/>
  <c r="K3211"/>
  <c r="X3578"/>
  <c r="V3593"/>
  <c r="K2992"/>
  <c r="K2999" s="1"/>
  <c r="K3001" s="1"/>
  <c r="I2789"/>
  <c r="K2789" s="1"/>
  <c r="K2796" s="1"/>
  <c r="K2798" s="1"/>
  <c r="X3609"/>
  <c r="V3624"/>
  <c r="X3625" s="1"/>
  <c r="AF1247"/>
  <c r="AD1219"/>
  <c r="AF1219" s="1"/>
  <c r="AU112"/>
  <c r="AS137"/>
  <c r="R3535"/>
  <c r="P3551"/>
  <c r="R3551" s="1"/>
  <c r="X3131"/>
  <c r="X3141" s="1"/>
  <c r="X3143" s="1"/>
  <c r="V3156"/>
  <c r="X3156" s="1"/>
  <c r="X3166" s="1"/>
  <c r="X3168" s="1"/>
  <c r="I3267"/>
  <c r="K3267" s="1"/>
  <c r="K3242"/>
  <c r="K472"/>
  <c r="L471"/>
  <c r="I3920"/>
  <c r="K823"/>
  <c r="K824" s="1"/>
  <c r="K825" s="1"/>
  <c r="K826" s="1"/>
  <c r="K827" s="1"/>
  <c r="K828" s="1"/>
  <c r="K829" s="1"/>
  <c r="K830" s="1"/>
  <c r="K831" s="1"/>
  <c r="K832" s="1"/>
  <c r="K833" s="1"/>
  <c r="K834" s="1"/>
  <c r="K835" s="1"/>
  <c r="I3300"/>
  <c r="K3300" s="1"/>
  <c r="P853"/>
  <c r="R853" s="1"/>
  <c r="V860"/>
  <c r="X860" s="1"/>
  <c r="K860"/>
  <c r="K349"/>
  <c r="L348"/>
  <c r="V1438"/>
  <c r="P1484"/>
  <c r="R1477"/>
  <c r="R1478" s="1"/>
  <c r="R1479" s="1"/>
  <c r="R603"/>
  <c r="AD528"/>
  <c r="AH659"/>
  <c r="AH660" s="1"/>
  <c r="AH661" s="1"/>
  <c r="AH662" s="1"/>
  <c r="AH663" s="1"/>
  <c r="AH664" s="1"/>
  <c r="AD1252"/>
  <c r="X1247"/>
  <c r="AL1203"/>
  <c r="AE1204"/>
  <c r="AU111"/>
  <c r="AS136"/>
  <c r="V1461"/>
  <c r="R1500"/>
  <c r="R1502" s="1"/>
  <c r="K369"/>
  <c r="J368"/>
  <c r="X367"/>
  <c r="V3619"/>
  <c r="X3620" s="1"/>
  <c r="X3604"/>
  <c r="K325"/>
  <c r="L324"/>
  <c r="X878"/>
  <c r="V894"/>
  <c r="X894" s="1"/>
  <c r="I2936"/>
  <c r="K2936" s="1"/>
  <c r="K2939" s="1"/>
  <c r="K2940" s="1"/>
  <c r="K2915"/>
  <c r="AU109"/>
  <c r="AS134"/>
  <c r="K520"/>
  <c r="K521" s="1"/>
  <c r="K522" s="1"/>
  <c r="L519"/>
  <c r="AI377"/>
  <c r="K543"/>
  <c r="I544" s="1"/>
  <c r="R634"/>
  <c r="AM1202"/>
  <c r="AM1203" s="1"/>
  <c r="L369"/>
  <c r="AU100"/>
  <c r="AW99"/>
  <c r="AX99" s="1"/>
  <c r="I2824"/>
  <c r="K2824" s="1"/>
  <c r="K2825" s="1"/>
  <c r="K2827" s="1"/>
  <c r="P2831"/>
  <c r="R1121"/>
  <c r="R1122" s="1"/>
  <c r="R1124" s="1"/>
  <c r="AG425"/>
  <c r="AI425" s="1"/>
  <c r="AI432" s="1"/>
  <c r="AI434" s="1"/>
  <c r="AG440" s="1"/>
  <c r="AI440" s="1"/>
  <c r="AI444" s="1"/>
  <c r="AI446" s="1"/>
  <c r="AI448" s="1"/>
  <c r="AI449" s="1"/>
  <c r="AI450" s="1"/>
  <c r="AI451" s="1"/>
  <c r="AI452" s="1"/>
  <c r="AI453" s="1"/>
  <c r="AI389"/>
  <c r="AI396" s="1"/>
  <c r="AI398" s="1"/>
  <c r="AG403" s="1"/>
  <c r="AI403" s="1"/>
  <c r="AI407" s="1"/>
  <c r="AI409" s="1"/>
  <c r="AI411" s="1"/>
  <c r="AI412" s="1"/>
  <c r="AI413" s="1"/>
  <c r="AI414" s="1"/>
  <c r="AI415" s="1"/>
  <c r="AI416" s="1"/>
  <c r="AI417" s="1"/>
  <c r="AI418" s="1"/>
  <c r="AI419" s="1"/>
  <c r="AI420" s="1"/>
  <c r="AI421" s="1"/>
  <c r="AI422" s="1"/>
  <c r="AK422" s="1"/>
  <c r="AK423" s="1"/>
  <c r="X659"/>
  <c r="X660" s="1"/>
  <c r="X661" s="1"/>
  <c r="X662" s="1"/>
  <c r="X663" s="1"/>
  <c r="X664" s="1"/>
  <c r="V528"/>
  <c r="AF1244"/>
  <c r="AD1216"/>
  <c r="AF1216" s="1"/>
  <c r="I4039"/>
  <c r="K4039" s="1"/>
  <c r="K4041" s="1"/>
  <c r="K4042" s="1"/>
  <c r="K4027"/>
  <c r="K4029" s="1"/>
  <c r="K4030" s="1"/>
  <c r="S1159"/>
  <c r="R1158"/>
  <c r="R1159" s="1"/>
  <c r="R1160" s="1"/>
  <c r="R1161" s="1"/>
  <c r="R1162" s="1"/>
  <c r="R1163" s="1"/>
  <c r="R1164" s="1"/>
  <c r="R1165" s="1"/>
  <c r="R1166" s="1"/>
  <c r="R1167" s="1"/>
  <c r="R1168" s="1"/>
  <c r="R1169" s="1"/>
  <c r="R1170" s="1"/>
  <c r="R1171" s="1"/>
  <c r="K404"/>
  <c r="K405" s="1"/>
  <c r="K406" s="1"/>
  <c r="J403"/>
  <c r="X1443"/>
  <c r="V1467"/>
  <c r="X1467" s="1"/>
  <c r="R1258"/>
  <c r="R1270" s="1"/>
  <c r="R1272" s="1"/>
  <c r="V1238"/>
  <c r="P1235"/>
  <c r="R1235" s="1"/>
  <c r="R1247" s="1"/>
  <c r="R1249" s="1"/>
  <c r="AA707"/>
  <c r="X713"/>
  <c r="X683"/>
  <c r="X684" s="1"/>
  <c r="L368"/>
  <c r="J544"/>
  <c r="W543"/>
  <c r="AE543" s="1"/>
  <c r="AD1222"/>
  <c r="AF1222" s="1"/>
  <c r="AF1250"/>
  <c r="K1991"/>
  <c r="K1998" s="1"/>
  <c r="P1991"/>
  <c r="R1991" s="1"/>
  <c r="R1999" s="1"/>
  <c r="V3605"/>
  <c r="X3588"/>
  <c r="I2956"/>
  <c r="K2956" s="1"/>
  <c r="K2947"/>
  <c r="AD1455"/>
  <c r="AF1455" s="1"/>
  <c r="X1457"/>
  <c r="X1243"/>
  <c r="AD1248"/>
  <c r="T1216"/>
  <c r="T1228" s="1"/>
  <c r="T1230" s="1"/>
  <c r="R1228"/>
  <c r="R1230" s="1"/>
  <c r="S1230" s="1"/>
  <c r="I3528"/>
  <c r="R3448"/>
  <c r="R3450" s="1"/>
  <c r="R3452" s="1"/>
  <c r="AF1246"/>
  <c r="AD1218"/>
  <c r="AF1218" s="1"/>
  <c r="X1246"/>
  <c r="AD1251"/>
  <c r="AF1411"/>
  <c r="AF1413" s="1"/>
  <c r="AD1428"/>
  <c r="AF1428" s="1"/>
  <c r="AF1430" s="1"/>
  <c r="K1971"/>
  <c r="K1977" s="1"/>
  <c r="P1971"/>
  <c r="R1971" s="1"/>
  <c r="R1978" s="1"/>
  <c r="AW110"/>
  <c r="AX110" s="1"/>
  <c r="I3955"/>
  <c r="K3939"/>
  <c r="AF1203"/>
  <c r="AF1204" s="1"/>
  <c r="J372"/>
  <c r="AD1242" l="1"/>
  <c r="X1238"/>
  <c r="X1250" s="1"/>
  <c r="X1252" s="1"/>
  <c r="K326"/>
  <c r="K327" s="1"/>
  <c r="M325"/>
  <c r="X1461"/>
  <c r="X1463" s="1"/>
  <c r="AD1459"/>
  <c r="AF1459" s="1"/>
  <c r="AF1461" s="1"/>
  <c r="AF528"/>
  <c r="AF533" s="1"/>
  <c r="AF535" s="1"/>
  <c r="AD537" s="1"/>
  <c r="AF537" s="1"/>
  <c r="AD538" s="1"/>
  <c r="AF538" s="1"/>
  <c r="AD539" s="1"/>
  <c r="AF539" s="1"/>
  <c r="AD540" s="1"/>
  <c r="AF540" s="1"/>
  <c r="AD541" s="1"/>
  <c r="AF541" s="1"/>
  <c r="AD542" s="1"/>
  <c r="AF542" s="1"/>
  <c r="AD543" s="1"/>
  <c r="AF543" s="1"/>
  <c r="AD544" s="1"/>
  <c r="AF544" s="1"/>
  <c r="AD545" s="1"/>
  <c r="AD552"/>
  <c r="AF552" s="1"/>
  <c r="AF557" s="1"/>
  <c r="AF559" s="1"/>
  <c r="AD561" s="1"/>
  <c r="AF561" s="1"/>
  <c r="AD562" s="1"/>
  <c r="AF562" s="1"/>
  <c r="AD563" s="1"/>
  <c r="AF563" s="1"/>
  <c r="AD564" s="1"/>
  <c r="AF564" s="1"/>
  <c r="AD565" s="1"/>
  <c r="AF565" s="1"/>
  <c r="AD566" s="1"/>
  <c r="AF566" s="1"/>
  <c r="K350"/>
  <c r="K351" s="1"/>
  <c r="L349"/>
  <c r="L472"/>
  <c r="K473"/>
  <c r="AW112"/>
  <c r="AX112" s="1"/>
  <c r="P3532"/>
  <c r="K3528"/>
  <c r="K3532" s="1"/>
  <c r="K3533" s="1"/>
  <c r="I3544"/>
  <c r="J545"/>
  <c r="W544"/>
  <c r="AE544" s="1"/>
  <c r="AI454"/>
  <c r="AG453"/>
  <c r="AU137"/>
  <c r="AS168"/>
  <c r="AU168" s="1"/>
  <c r="X3593"/>
  <c r="V3610"/>
  <c r="AI378"/>
  <c r="AJ368"/>
  <c r="J369"/>
  <c r="K370"/>
  <c r="K372" s="1"/>
  <c r="AD1224"/>
  <c r="AF1224" s="1"/>
  <c r="AF1252"/>
  <c r="X1438"/>
  <c r="X1439" s="1"/>
  <c r="X1440" s="1"/>
  <c r="AD1436"/>
  <c r="AF1436" s="1"/>
  <c r="AF1437" s="1"/>
  <c r="AF1438" s="1"/>
  <c r="I3938"/>
  <c r="K3920"/>
  <c r="K3932" s="1"/>
  <c r="AW166"/>
  <c r="AX166" s="1"/>
  <c r="AA713"/>
  <c r="X714"/>
  <c r="L406"/>
  <c r="L407" s="1"/>
  <c r="AW100"/>
  <c r="AX100"/>
  <c r="AU101"/>
  <c r="R1484"/>
  <c r="R1485" s="1"/>
  <c r="V1445"/>
  <c r="AW135"/>
  <c r="AX135" s="1"/>
  <c r="V552"/>
  <c r="X552" s="1"/>
  <c r="X557" s="1"/>
  <c r="X559" s="1"/>
  <c r="X528"/>
  <c r="X533" s="1"/>
  <c r="X535" s="1"/>
  <c r="V537" s="1"/>
  <c r="X537" s="1"/>
  <c r="V538" s="1"/>
  <c r="X538" s="1"/>
  <c r="V539" s="1"/>
  <c r="X539" s="1"/>
  <c r="V540" s="1"/>
  <c r="X540" s="1"/>
  <c r="V541" s="1"/>
  <c r="X541" s="1"/>
  <c r="V542" s="1"/>
  <c r="X542" s="1"/>
  <c r="V543" s="1"/>
  <c r="X543" s="1"/>
  <c r="V544" s="1"/>
  <c r="Z369"/>
  <c r="X368"/>
  <c r="X369" s="1"/>
  <c r="X370" s="1"/>
  <c r="X371" s="1"/>
  <c r="Z368"/>
  <c r="I3972"/>
  <c r="K3972" s="1"/>
  <c r="K3955"/>
  <c r="I2946"/>
  <c r="K2946" s="1"/>
  <c r="K2949" s="1"/>
  <c r="K2950" s="1"/>
  <c r="K2916"/>
  <c r="I2955" s="1"/>
  <c r="K2955" s="1"/>
  <c r="K2958" s="1"/>
  <c r="K2959" s="1"/>
  <c r="AL1204"/>
  <c r="AM1204" s="1"/>
  <c r="AE1205"/>
  <c r="K616"/>
  <c r="I616"/>
  <c r="AD1223"/>
  <c r="AF1223" s="1"/>
  <c r="AF1251"/>
  <c r="AD1220"/>
  <c r="AF1220" s="1"/>
  <c r="AF1248"/>
  <c r="Z684"/>
  <c r="Z686" s="1"/>
  <c r="X686"/>
  <c r="AW109"/>
  <c r="AX109" s="1"/>
  <c r="AU115"/>
  <c r="AW111"/>
  <c r="AX111" s="1"/>
  <c r="L3233"/>
  <c r="L3239" s="1"/>
  <c r="L3241" s="1"/>
  <c r="K3273"/>
  <c r="K3275" s="1"/>
  <c r="L3192"/>
  <c r="L3195" s="1"/>
  <c r="L3197" s="1"/>
  <c r="K3229"/>
  <c r="K3231" s="1"/>
  <c r="K544"/>
  <c r="I545" s="1"/>
  <c r="K545" s="1"/>
  <c r="I546" s="1"/>
  <c r="V3620"/>
  <c r="X3621" s="1"/>
  <c r="X3605"/>
  <c r="P2864"/>
  <c r="I2643"/>
  <c r="V2792"/>
  <c r="R2831"/>
  <c r="R2832" s="1"/>
  <c r="R2834" s="1"/>
  <c r="AU134"/>
  <c r="AS165"/>
  <c r="AS148"/>
  <c r="AU148" s="1"/>
  <c r="AS167"/>
  <c r="AU167" s="1"/>
  <c r="AU136"/>
  <c r="L3208"/>
  <c r="L3211" s="1"/>
  <c r="K3245"/>
  <c r="K3247" s="1"/>
  <c r="L3177"/>
  <c r="L3180" s="1"/>
  <c r="L3182" s="1"/>
  <c r="K3214"/>
  <c r="K3216" s="1"/>
  <c r="AF1205"/>
  <c r="X544" l="1"/>
  <c r="V545" s="1"/>
  <c r="AX101"/>
  <c r="AU102"/>
  <c r="AW101"/>
  <c r="AW167"/>
  <c r="AX167" s="1"/>
  <c r="AL1205"/>
  <c r="AM1205" s="1"/>
  <c r="AE1206"/>
  <c r="R1486"/>
  <c r="S1446"/>
  <c r="AX136"/>
  <c r="AW136"/>
  <c r="R2864"/>
  <c r="R2865" s="1"/>
  <c r="R2867" s="1"/>
  <c r="P3163"/>
  <c r="R3163" s="1"/>
  <c r="R3164" s="1"/>
  <c r="R3166" s="1"/>
  <c r="Z687"/>
  <c r="Z688" s="1"/>
  <c r="X1445"/>
  <c r="X1446" s="1"/>
  <c r="X1447" s="1"/>
  <c r="V1469"/>
  <c r="X1469" s="1"/>
  <c r="X1470" s="1"/>
  <c r="X1471" s="1"/>
  <c r="V3625"/>
  <c r="X3626" s="1"/>
  <c r="X3610"/>
  <c r="L351"/>
  <c r="L352" s="1"/>
  <c r="L353" s="1"/>
  <c r="AD1214"/>
  <c r="AF1214" s="1"/>
  <c r="AF1227" s="1"/>
  <c r="AF1229" s="1"/>
  <c r="AF1242"/>
  <c r="AF1255" s="1"/>
  <c r="AF1257" s="1"/>
  <c r="V3544"/>
  <c r="AG3544"/>
  <c r="AI3544" s="1"/>
  <c r="AI3548" s="1"/>
  <c r="AI3549" s="1"/>
  <c r="K3544"/>
  <c r="K3548" s="1"/>
  <c r="K3549" s="1"/>
  <c r="V2612"/>
  <c r="K2643"/>
  <c r="K2645" s="1"/>
  <c r="K2647" s="1"/>
  <c r="X688"/>
  <c r="X690" s="1"/>
  <c r="X691" s="1"/>
  <c r="X692" s="1"/>
  <c r="X693" s="1"/>
  <c r="X694" s="1"/>
  <c r="X687"/>
  <c r="AA714"/>
  <c r="AA716" s="1"/>
  <c r="X716"/>
  <c r="J546"/>
  <c r="K546" s="1"/>
  <c r="I547" s="1"/>
  <c r="W545"/>
  <c r="AE545" s="1"/>
  <c r="X372"/>
  <c r="AG2796"/>
  <c r="AI2796" s="1"/>
  <c r="AI2797" s="1"/>
  <c r="AI2799" s="1"/>
  <c r="X2792"/>
  <c r="X2793" s="1"/>
  <c r="X2795" s="1"/>
  <c r="AI379"/>
  <c r="AI380" s="1"/>
  <c r="AI381"/>
  <c r="AJ369"/>
  <c r="K3938"/>
  <c r="K3950" s="1"/>
  <c r="L3950" s="1"/>
  <c r="I3954"/>
  <c r="AG454"/>
  <c r="AI455"/>
  <c r="L473"/>
  <c r="K474"/>
  <c r="Z367"/>
  <c r="AA367" s="1"/>
  <c r="AW134"/>
  <c r="AX134"/>
  <c r="AU140"/>
  <c r="AU117"/>
  <c r="AW115"/>
  <c r="AX115" s="1"/>
  <c r="P2347"/>
  <c r="R2347" s="1"/>
  <c r="R2350" s="1"/>
  <c r="V561"/>
  <c r="X561" s="1"/>
  <c r="V562" s="1"/>
  <c r="X562" s="1"/>
  <c r="V563" s="1"/>
  <c r="X563" s="1"/>
  <c r="V564" s="1"/>
  <c r="X564" s="1"/>
  <c r="V565" s="1"/>
  <c r="X565" s="1"/>
  <c r="AS180"/>
  <c r="AU180" s="1"/>
  <c r="AU165"/>
  <c r="K371"/>
  <c r="J371" s="1"/>
  <c r="J370"/>
  <c r="AX137"/>
  <c r="AW137"/>
  <c r="AF1206"/>
  <c r="X545"/>
  <c r="V546" s="1"/>
  <c r="AW148"/>
  <c r="AX148" s="1"/>
  <c r="AW168"/>
  <c r="AX168"/>
  <c r="R3532"/>
  <c r="R3536" s="1"/>
  <c r="R3537" s="1"/>
  <c r="P3548"/>
  <c r="R3548" s="1"/>
  <c r="R3552" s="1"/>
  <c r="R3553" s="1"/>
  <c r="AF545"/>
  <c r="AD546" s="1"/>
  <c r="AD464" l="1"/>
  <c r="AF464" s="1"/>
  <c r="AF468" s="1"/>
  <c r="AF470" s="1"/>
  <c r="AD476" s="1"/>
  <c r="AF476" s="1"/>
  <c r="AF482" s="1"/>
  <c r="AF484" s="1"/>
  <c r="AD486" s="1"/>
  <c r="AF486" s="1"/>
  <c r="AD487" s="1"/>
  <c r="AF487" s="1"/>
  <c r="AD488" s="1"/>
  <c r="AF488" s="1"/>
  <c r="AD489" s="1"/>
  <c r="AF489" s="1"/>
  <c r="AD490" s="1"/>
  <c r="AF490" s="1"/>
  <c r="C877"/>
  <c r="AA717"/>
  <c r="AA718" s="1"/>
  <c r="X717"/>
  <c r="X718" s="1"/>
  <c r="X720" s="1"/>
  <c r="X721" s="1"/>
  <c r="X722" s="1"/>
  <c r="X723" s="1"/>
  <c r="X724" s="1"/>
  <c r="X3544"/>
  <c r="X3548" s="1"/>
  <c r="X3549" s="1"/>
  <c r="V3560"/>
  <c r="AW165"/>
  <c r="AX165" s="1"/>
  <c r="AU171"/>
  <c r="AW140"/>
  <c r="AX140" s="1"/>
  <c r="AU142"/>
  <c r="K3954"/>
  <c r="K3966" s="1"/>
  <c r="I3971"/>
  <c r="K3971" s="1"/>
  <c r="K3983" s="1"/>
  <c r="AU103"/>
  <c r="AW102"/>
  <c r="AX102" s="1"/>
  <c r="AW180"/>
  <c r="AX180"/>
  <c r="AU119"/>
  <c r="AW117"/>
  <c r="AX117" s="1"/>
  <c r="X2612"/>
  <c r="X2613" s="1"/>
  <c r="X2615" s="1"/>
  <c r="AG2660"/>
  <c r="AI2660" s="1"/>
  <c r="AI2661" s="1"/>
  <c r="AI2663" s="1"/>
  <c r="W546"/>
  <c r="AE546" s="1"/>
  <c r="J547"/>
  <c r="W547" s="1"/>
  <c r="AE547" s="1"/>
  <c r="AI456"/>
  <c r="AG455"/>
  <c r="L474"/>
  <c r="K475"/>
  <c r="AL1206"/>
  <c r="AM1206" s="1"/>
  <c r="AE1207"/>
  <c r="AE1208" s="1"/>
  <c r="AF546"/>
  <c r="AD547" s="1"/>
  <c r="AF547" s="1"/>
  <c r="AD548" s="1"/>
  <c r="AF548" s="1"/>
  <c r="AD549" s="1"/>
  <c r="AF549" s="1"/>
  <c r="K547" l="1"/>
  <c r="X546"/>
  <c r="V547" s="1"/>
  <c r="X547" s="1"/>
  <c r="V548" s="1"/>
  <c r="X548" s="1"/>
  <c r="V549" s="1"/>
  <c r="X549" s="1"/>
  <c r="I877"/>
  <c r="V464"/>
  <c r="X464" s="1"/>
  <c r="X468" s="1"/>
  <c r="X470" s="1"/>
  <c r="V476" s="1"/>
  <c r="X476" s="1"/>
  <c r="X482" s="1"/>
  <c r="X484" s="1"/>
  <c r="V486" s="1"/>
  <c r="X486" s="1"/>
  <c r="V487" s="1"/>
  <c r="X487" s="1"/>
  <c r="V488" s="1"/>
  <c r="X488" s="1"/>
  <c r="V489" s="1"/>
  <c r="X489" s="1"/>
  <c r="V490" s="1"/>
  <c r="X490" s="1"/>
  <c r="AS147"/>
  <c r="AW142"/>
  <c r="AX142"/>
  <c r="V3576"/>
  <c r="X3560"/>
  <c r="X3564" s="1"/>
  <c r="X3565" s="1"/>
  <c r="K476"/>
  <c r="L475"/>
  <c r="AW103"/>
  <c r="AX103" s="1"/>
  <c r="AU120"/>
  <c r="AV119"/>
  <c r="AW119"/>
  <c r="AX119"/>
  <c r="AW171"/>
  <c r="AX171" s="1"/>
  <c r="AU173"/>
  <c r="AF1207"/>
  <c r="AF1208" s="1"/>
  <c r="AI457"/>
  <c r="AG456"/>
  <c r="L476" l="1"/>
  <c r="K477"/>
  <c r="K877"/>
  <c r="K889" s="1"/>
  <c r="V877"/>
  <c r="I893"/>
  <c r="K893" s="1"/>
  <c r="K905" s="1"/>
  <c r="I859"/>
  <c r="AW173"/>
  <c r="AX173" s="1"/>
  <c r="AS179"/>
  <c r="AU179" s="1"/>
  <c r="AU147"/>
  <c r="AI458"/>
  <c r="AG457"/>
  <c r="AV120"/>
  <c r="AW120"/>
  <c r="AX120" s="1"/>
  <c r="AU121"/>
  <c r="X3576"/>
  <c r="X3580" s="1"/>
  <c r="X3581" s="1"/>
  <c r="V3591"/>
  <c r="AU183" l="1"/>
  <c r="AW179"/>
  <c r="AX179" s="1"/>
  <c r="AW147"/>
  <c r="AX147" s="1"/>
  <c r="AU151"/>
  <c r="K478"/>
  <c r="L477"/>
  <c r="AG458"/>
  <c r="AI459"/>
  <c r="K891"/>
  <c r="L889"/>
  <c r="AU122"/>
  <c r="AU124" s="1"/>
  <c r="AW121"/>
  <c r="AX121"/>
  <c r="V893"/>
  <c r="X893" s="1"/>
  <c r="X905" s="1"/>
  <c r="X877"/>
  <c r="X889" s="1"/>
  <c r="I3299"/>
  <c r="K3299" s="1"/>
  <c r="K3311" s="1"/>
  <c r="K859"/>
  <c r="K871" s="1"/>
  <c r="P852"/>
  <c r="R852" s="1"/>
  <c r="R864" s="1"/>
  <c r="V859"/>
  <c r="X859" s="1"/>
  <c r="X871" s="1"/>
  <c r="V3608"/>
  <c r="X3591"/>
  <c r="X3595" s="1"/>
  <c r="X3596" s="1"/>
  <c r="AW124" l="1"/>
  <c r="AX124" s="1"/>
  <c r="AU185"/>
  <c r="AW183"/>
  <c r="AX183" s="1"/>
  <c r="AG459"/>
  <c r="AI460"/>
  <c r="AU123"/>
  <c r="AW122"/>
  <c r="AX122" s="1"/>
  <c r="V3623"/>
  <c r="X3608"/>
  <c r="X3612" s="1"/>
  <c r="X3613" s="1"/>
  <c r="AU153"/>
  <c r="AW151"/>
  <c r="AX151" s="1"/>
  <c r="L478"/>
  <c r="K479"/>
  <c r="L479" s="1"/>
  <c r="AW123" l="1"/>
  <c r="AX123" s="1"/>
  <c r="X3624"/>
  <c r="X3623"/>
  <c r="AW153"/>
  <c r="AX153" s="1"/>
  <c r="AU155"/>
  <c r="AW185"/>
  <c r="AX185" s="1"/>
  <c r="AU187"/>
  <c r="AG460"/>
  <c r="AI461"/>
  <c r="X3627" l="1"/>
  <c r="X3628" s="1"/>
  <c r="AT187"/>
  <c r="AW187"/>
  <c r="AX187" s="1"/>
  <c r="AU188"/>
  <c r="AI462"/>
  <c r="AG461"/>
  <c r="AW155"/>
  <c r="AX155" s="1"/>
  <c r="AU156"/>
  <c r="AT155"/>
  <c r="AV155"/>
  <c r="AU157" l="1"/>
  <c r="AT156"/>
  <c r="AV156"/>
  <c r="AW156"/>
  <c r="AX156" s="1"/>
  <c r="AT188"/>
  <c r="AW188"/>
  <c r="AX188" s="1"/>
  <c r="AU189"/>
  <c r="AI463"/>
  <c r="AG463" s="1"/>
  <c r="AG462"/>
  <c r="AX189" l="1"/>
  <c r="AU190"/>
  <c r="AT189"/>
  <c r="AW189"/>
  <c r="AU158"/>
  <c r="AT157"/>
  <c r="AW157"/>
  <c r="AX157" s="1"/>
  <c r="AX190" l="1"/>
  <c r="AT190"/>
  <c r="AW190"/>
  <c r="AU191"/>
  <c r="AU159"/>
  <c r="AT158"/>
  <c r="AW158"/>
  <c r="AX158" s="1"/>
  <c r="AT191" l="1"/>
  <c r="AW191"/>
  <c r="AX191" s="1"/>
  <c r="AT159"/>
  <c r="AW159"/>
  <c r="AX159" s="1"/>
  <c r="F50" i="7" l="1"/>
  <c r="F52" s="1"/>
  <c r="F53" l="1"/>
  <c r="F57" s="1"/>
</calcChain>
</file>

<file path=xl/sharedStrings.xml><?xml version="1.0" encoding="utf-8"?>
<sst xmlns="http://schemas.openxmlformats.org/spreadsheetml/2006/main" count="17362" uniqueCount="3225">
  <si>
    <t>Cement &amp; Steel</t>
  </si>
  <si>
    <t>Rough stone, Bond stone, cut stone, HBG, Sand, gravel, surkhi, earth, crushed stone etc.</t>
  </si>
  <si>
    <t>Country
Bricks,</t>
  </si>
  <si>
    <t>Mangalore tiles,(1000nos.) machine pressed tiles, (2000nos)
Hydraulic pressed tiles, Mosaic tiles(1500 nos)</t>
  </si>
  <si>
    <t>Chamber bricks, Stock bricks, Fly ash bricks</t>
  </si>
  <si>
    <t>Lime stone, Laterite,brick jelly, wood work, pond ash(wet/Dry), Stone dust etc.</t>
  </si>
  <si>
    <t>(1MT)</t>
  </si>
  <si>
    <t>(1Cum)</t>
  </si>
  <si>
    <t>(1000 Nos)</t>
  </si>
  <si>
    <t>0-10</t>
  </si>
  <si>
    <t>10-20</t>
  </si>
  <si>
    <t>20-40</t>
  </si>
  <si>
    <t>40-80</t>
  </si>
  <si>
    <t>&gt;80</t>
  </si>
  <si>
    <t>Metal</t>
  </si>
  <si>
    <t xml:space="preserve">                                                                                                                                                                                                                                                                                                                                                </t>
  </si>
  <si>
    <t>Br jelly</t>
  </si>
  <si>
    <t>Sand</t>
  </si>
  <si>
    <t>Mosaic</t>
  </si>
  <si>
    <t>Lime</t>
  </si>
  <si>
    <t xml:space="preserve">Total km </t>
  </si>
  <si>
    <t>Rough &amp; Bond stone</t>
  </si>
  <si>
    <t>Wood</t>
  </si>
  <si>
    <t>lead</t>
  </si>
  <si>
    <t>Gravel</t>
  </si>
  <si>
    <t>Stone dust</t>
  </si>
  <si>
    <t>Cement</t>
  </si>
  <si>
    <t xml:space="preserve"> </t>
  </si>
  <si>
    <t>Steel</t>
  </si>
  <si>
    <t>well gravel</t>
  </si>
  <si>
    <t>CS</t>
  </si>
  <si>
    <t>Hills</t>
  </si>
  <si>
    <t>stone</t>
  </si>
  <si>
    <t>Kilin Bricks</t>
  </si>
  <si>
    <t>tiles</t>
  </si>
  <si>
    <t>sand</t>
  </si>
  <si>
    <t>Stone Dust</t>
  </si>
  <si>
    <t>crushed stone</t>
  </si>
  <si>
    <r>
      <t xml:space="preserve">Tamil Nadu Police Housing Corparation Ltd. </t>
    </r>
    <r>
      <rPr>
        <b/>
        <sz val="12"/>
        <rFont val="Helv"/>
      </rPr>
      <t xml:space="preserve"> DATA</t>
    </r>
  </si>
  <si>
    <t>TAMIL NADU POLICE HOUSING CORPORATION</t>
  </si>
  <si>
    <t>Tamil Nadu Police Housing Corparation Ltd.</t>
  </si>
  <si>
    <t>=</t>
  </si>
  <si>
    <t>======================================</t>
  </si>
  <si>
    <t>==========================================================</t>
  </si>
  <si>
    <t>PLACE:-</t>
  </si>
  <si>
    <t>OOTY</t>
  </si>
  <si>
    <t>2020-2021</t>
  </si>
  <si>
    <t>Gudalur</t>
  </si>
  <si>
    <t>-</t>
  </si>
  <si>
    <t xml:space="preserve">  </t>
  </si>
  <si>
    <t xml:space="preserve">         </t>
  </si>
  <si>
    <t>QTY</t>
  </si>
  <si>
    <t>COST OF MATERIALS</t>
  </si>
  <si>
    <t>RATE</t>
  </si>
  <si>
    <t>PER</t>
  </si>
  <si>
    <t>AMOUNT</t>
  </si>
  <si>
    <t>SL.NO</t>
  </si>
  <si>
    <t>DESCRIPTION OF MATERIALS</t>
  </si>
  <si>
    <t>UNIT</t>
  </si>
  <si>
    <t>SOURCE</t>
  </si>
  <si>
    <t>Total  LEAD</t>
  </si>
  <si>
    <t xml:space="preserve">COST OF </t>
  </si>
  <si>
    <t>LEAD CHARGES</t>
  </si>
  <si>
    <t xml:space="preserve">Add 10% </t>
  </si>
  <si>
    <t>UN LO-</t>
  </si>
  <si>
    <t>MATERIAL</t>
  </si>
  <si>
    <t>LABOUR RATE</t>
  </si>
  <si>
    <t>*</t>
  </si>
  <si>
    <t>CEMENT MORTAR(1:1.5)</t>
  </si>
  <si>
    <t>LIME MORTAR(1:2)</t>
  </si>
  <si>
    <t>PLAIN</t>
  </si>
  <si>
    <t>HILL</t>
  </si>
  <si>
    <t>for quarry at</t>
  </si>
  <si>
    <t>ADING</t>
  </si>
  <si>
    <t>COST @ SITE</t>
  </si>
  <si>
    <t>LABOUR CHARGES</t>
  </si>
  <si>
    <t xml:space="preserve">Thuvakudi </t>
  </si>
  <si>
    <t>10%</t>
  </si>
  <si>
    <t>20%</t>
  </si>
  <si>
    <t>50%</t>
  </si>
  <si>
    <t>5%</t>
  </si>
  <si>
    <t>25%</t>
  </si>
  <si>
    <t>40%</t>
  </si>
  <si>
    <t xml:space="preserve"> -------------</t>
  </si>
  <si>
    <t>M.T</t>
  </si>
  <si>
    <t>CEMENT</t>
  </si>
  <si>
    <t>LIME</t>
  </si>
  <si>
    <t>1.</t>
  </si>
  <si>
    <t>ROUGH STONE sl.38  p18</t>
  </si>
  <si>
    <t>CUM.</t>
  </si>
  <si>
    <t>Kurunthamalai</t>
  </si>
  <si>
    <t>MASON-I Brick / Stone work</t>
  </si>
  <si>
    <t>MASON  I *</t>
  </si>
  <si>
    <t>CUM</t>
  </si>
  <si>
    <t>SAND</t>
  </si>
  <si>
    <t>2.</t>
  </si>
  <si>
    <t>BOND STONE sl.57 p18</t>
  </si>
  <si>
    <t>MASON-II Brick / Stone work</t>
  </si>
  <si>
    <t>MASON  II  *</t>
  </si>
  <si>
    <t>MIXING OF MORTAR</t>
  </si>
  <si>
    <t>GRINDING OF MORTAR</t>
  </si>
  <si>
    <t>3.</t>
  </si>
  <si>
    <t>HARD BROKEN STONE JELLY 3mm To 10mm p-18</t>
  </si>
  <si>
    <t>MAZDOOR-I</t>
  </si>
  <si>
    <t>MAZDOOR I   *</t>
  </si>
  <si>
    <t>NO.</t>
  </si>
  <si>
    <t>L.S</t>
  </si>
  <si>
    <t>SUNDRIES</t>
  </si>
  <si>
    <t>4.</t>
  </si>
  <si>
    <t>HARD BROKEN STONE JELLY 10mm</t>
  </si>
  <si>
    <t>MAZDOOR-II</t>
  </si>
  <si>
    <t>MAZDOOR II*</t>
  </si>
  <si>
    <t>5.</t>
  </si>
  <si>
    <t>HARD BROKEN STONE JELLY 12mm</t>
  </si>
  <si>
    <t>PAINTER-I</t>
  </si>
  <si>
    <t>PAINTER I/II*</t>
  </si>
  <si>
    <t>TOTAL FOR 1 CUM</t>
  </si>
  <si>
    <t>6.</t>
  </si>
  <si>
    <t>HARD BROKEN STONE JELLY 20mm</t>
  </si>
  <si>
    <t>PAINTER-II</t>
  </si>
  <si>
    <t>PLUMBER  I*</t>
  </si>
  <si>
    <t>7.</t>
  </si>
  <si>
    <t>HARD BROKEN STONE JELLY 40mm</t>
  </si>
  <si>
    <t>PLUMBER-I</t>
  </si>
  <si>
    <t>CARPENTER I/II*</t>
  </si>
  <si>
    <t>CEMENT MORTAR(1:2)</t>
  </si>
  <si>
    <t>SUPPLYING MIXINNG AND LAYING</t>
  </si>
  <si>
    <t>8.</t>
  </si>
  <si>
    <t>C.S.SAND FOR MORTAR sl.100  p20</t>
  </si>
  <si>
    <t>Karamadai 
[Kannarpalayam]</t>
  </si>
  <si>
    <t>PLUMBER-II</t>
  </si>
  <si>
    <t>FITTER I/II*</t>
  </si>
  <si>
    <t>LIME SAND MIX 1:1 RATIO</t>
  </si>
  <si>
    <t>9.</t>
  </si>
  <si>
    <t>C.S.SAND FOR FILLING</t>
  </si>
  <si>
    <t>FITTER-I</t>
  </si>
  <si>
    <t>MIXING OF MORTAR* it-165</t>
  </si>
  <si>
    <t>CUM*</t>
  </si>
  <si>
    <t>INCLUDING COST OF</t>
  </si>
  <si>
    <t>10.</t>
  </si>
  <si>
    <t>Kiln Burnt Country Bricks  SIZE 22x11x7Cm p-16 it-5a</t>
  </si>
  <si>
    <t>1000nos.</t>
  </si>
  <si>
    <t>Thadagam</t>
  </si>
  <si>
    <t>FITTER-II</t>
  </si>
  <si>
    <t>LIFT CHARGES FOR B.W IN G.F  * it-94 p-29</t>
  </si>
  <si>
    <t>SAND,LIME,LABOUR FOR MIXING</t>
  </si>
  <si>
    <t>11.</t>
  </si>
  <si>
    <t>BRICK JELLY 40mmGAUGE p-17 it-17 a</t>
  </si>
  <si>
    <t>CARPENTER-I</t>
  </si>
  <si>
    <t>LIFT CHARGES FOR B.W IN F.F  *</t>
  </si>
  <si>
    <t>&amp;LAYING ETC COMPLETE.</t>
  </si>
  <si>
    <t>12.</t>
  </si>
  <si>
    <t>BRICK JELLY 20mmGAUGE</t>
  </si>
  <si>
    <t>CARPENTER-II</t>
  </si>
  <si>
    <t>LIFT CHARGES FOR B.W IN S.F  *</t>
  </si>
  <si>
    <t>13.</t>
  </si>
  <si>
    <t>MACHINE PRESSED TILES 23x 23x 2 Cm p-17 It-20</t>
  </si>
  <si>
    <t>Local</t>
  </si>
  <si>
    <t>STONE CUTTER-I</t>
  </si>
  <si>
    <t>LIFT CHARGES FOR CONCRETE IN G.F  *it-92 p-29</t>
  </si>
  <si>
    <t>COST OF SAND</t>
  </si>
  <si>
    <t>14.</t>
  </si>
  <si>
    <t>SLACKED SHELL LIME sl.106 p20</t>
  </si>
  <si>
    <t>STONE CUTTER-II</t>
  </si>
  <si>
    <t>LIFT CHARGES FOR CONCRETE IN F.F  *</t>
  </si>
  <si>
    <t>COST OF LIME</t>
  </si>
  <si>
    <t>15.</t>
  </si>
  <si>
    <t>SLACKED &amp;SREENED LIME STONE sl107/67</t>
  </si>
  <si>
    <t>FLOOR POLISHER</t>
  </si>
  <si>
    <t>LIFT CHARGES FOR CONCRETE IN S.F  *</t>
  </si>
  <si>
    <t>LABOUR CHARGES FOR MIXING</t>
  </si>
  <si>
    <t>16.</t>
  </si>
  <si>
    <t>C.W SCANTLING UPTO 4M LONG p-21 it-127</t>
  </si>
  <si>
    <t>local</t>
  </si>
  <si>
    <t>Mortar mix charges manual  sl.165(Ann3 p-34)</t>
  </si>
  <si>
    <t>VIBRATER CHARGES  * it-103 p-28</t>
  </si>
  <si>
    <t>CEMENT MORTAR(1:3)</t>
  </si>
  <si>
    <t>LABOUR CHARGES FOR FILLING</t>
  </si>
  <si>
    <t>17.</t>
  </si>
  <si>
    <t>C.W. PLANK UPTO 40mmTHICK UPTO 30 Cm WIDTH</t>
  </si>
  <si>
    <t>Vibrat-charges(R.C.C) sl.103/2 p30</t>
  </si>
  <si>
    <t>EARTH FILLING  * it-76/85</t>
  </si>
  <si>
    <t xml:space="preserve"> 1CUM</t>
  </si>
  <si>
    <t>18.</t>
  </si>
  <si>
    <t>T.W SCANTLING 2M TO 3M LONG 112/73 p-21</t>
  </si>
  <si>
    <t>Vibrat-charges(P.C.C) sl.102</t>
  </si>
  <si>
    <t>SAND FILLING  * it-75/85</t>
  </si>
  <si>
    <t>19.</t>
  </si>
  <si>
    <t>T.W.SCANTLING BELOW 2M LONG 113/74 p-21</t>
  </si>
  <si>
    <t>Sand filling charges sl.75 p-28</t>
  </si>
  <si>
    <t>POLISHING STONE (average of rough, medium, fine) it-52 p-43</t>
  </si>
  <si>
    <t>TOTAL FOR 1.5 CUM</t>
  </si>
  <si>
    <t>20.</t>
  </si>
  <si>
    <t>T.W.PLANKS 15TO30cm WIDTH &amp; 12to25mm Thick it-119 p-21</t>
  </si>
  <si>
    <t>Earth filling charges sl.76 p-28</t>
  </si>
  <si>
    <t>FLOOR POLISHER (MOSAIC)  * p-11 it-17</t>
  </si>
  <si>
    <t>NO</t>
  </si>
  <si>
    <t>21.</t>
  </si>
  <si>
    <t>Country BricksKiln Burnt of SIZE 22x11x5Cm (7c)p-16</t>
  </si>
  <si>
    <t>E.W.  61/62 p-27</t>
  </si>
  <si>
    <t>LABOUR CHARGE FOR WROUGHT &amp; PUTUP /V-SHUTTER *p-30 it-143</t>
  </si>
  <si>
    <t>RATE PER CUM</t>
  </si>
  <si>
    <t>22.</t>
  </si>
  <si>
    <t>MOSAIC TILES GRAY 25X25X2cm.it-30 p-17</t>
  </si>
  <si>
    <t>L.C.T.W.Door- 144/2 p-32</t>
  </si>
  <si>
    <t>LABOUR CHARGE FOR DOOR/WINDOW SHUTTER  *p-30 it-144</t>
  </si>
  <si>
    <t>23.</t>
  </si>
  <si>
    <t>CEMENT (supply at site)</t>
  </si>
  <si>
    <t>L.C.marine doors-145/3 p-32</t>
  </si>
  <si>
    <t>COST OF RUBBER ,LUBRICATION,PLUG,CLAMP</t>
  </si>
  <si>
    <t>24.</t>
  </si>
  <si>
    <t>R.T.S. / M.S upto 16mm</t>
  </si>
  <si>
    <t>TW glazed window 149/8 p-33</t>
  </si>
  <si>
    <t>M.S. HOLD FAST WITH SCREWS *</t>
  </si>
  <si>
    <t>25.</t>
  </si>
  <si>
    <t>M.S./ R.T.S above 16mm</t>
  </si>
  <si>
    <t>Wrought&amp;putup 143/1 p-32</t>
  </si>
  <si>
    <t>M.S. SHEET/ANGLE PER M.T p23 I-159/112</t>
  </si>
  <si>
    <t>CEMENT MORTAR(1:4)</t>
  </si>
  <si>
    <t>26.</t>
  </si>
  <si>
    <t>Country BricksKiln Burnt  SIZE 22x11x5Cm</t>
  </si>
  <si>
    <t>Ventilator 153/14 p-33</t>
  </si>
  <si>
    <t>27.</t>
  </si>
  <si>
    <t>HBSJ 11.2mm IRC metal (High W ay SR16-17)</t>
  </si>
  <si>
    <t>Meter- Cupboard Weldmesh 158/23 p-34</t>
  </si>
  <si>
    <t>Earth work lift for addl 1M p-27 it-66/77</t>
  </si>
  <si>
    <t>28.</t>
  </si>
  <si>
    <t>HBSJ 37.5mm to 26.5mm IRC metal</t>
  </si>
  <si>
    <t>E.W (SDR) 62/67 p-27</t>
  </si>
  <si>
    <t>Labour for petty iron worksp-34 it-167/1</t>
  </si>
  <si>
    <t>29.</t>
  </si>
  <si>
    <t>HBSJ 63mm to 45mm IRC metal</t>
  </si>
  <si>
    <t>FITTER-II (Pipe &amp; Bar Bend) 69/20a p-14</t>
  </si>
  <si>
    <t>TRANSPORTING &amp; ERRECTION</t>
  </si>
  <si>
    <t>30.</t>
  </si>
  <si>
    <t xml:space="preserve"> Gravel p20  92/57</t>
  </si>
  <si>
    <t>FITTER-I (Pipe &amp; Bar Bend) 19/20 p-12</t>
  </si>
  <si>
    <t>LABOUR COST OF CHANNELMOULD/PAINTING ANTCORROSIVE</t>
  </si>
  <si>
    <t xml:space="preserve"> Well Gravel p20  It93/57a</t>
  </si>
  <si>
    <t>E.W  loose soil p-26 SS20B/55/50</t>
  </si>
  <si>
    <t>COST OF PLASTERXERS/COST OF ANTI-CORROSIVE</t>
  </si>
  <si>
    <t>STONE CUTTER II  *</t>
  </si>
  <si>
    <t>Chamber Burnt Bricks of size 23x11.2x7Cm p16/4b</t>
  </si>
  <si>
    <t>CONVEYING,LOWERING&amp; JOINTING LABOUR</t>
  </si>
  <si>
    <t>RMT</t>
  </si>
  <si>
    <t>CEMENT MORTAR(1:5)</t>
  </si>
  <si>
    <t>Chamber Burnt Bricks  of size 23x11.4x7.5Cmp16 /3a</t>
  </si>
  <si>
    <t>LABOUR FOR CUTTING 15mm DIA   * p-32 it-125 pwd</t>
  </si>
  <si>
    <t>Stone dust p20 96-58a</t>
  </si>
  <si>
    <t>Cum</t>
  </si>
  <si>
    <t>LABOUR FOR CUTTING 20mm DIA  *</t>
  </si>
  <si>
    <t>6mmto 10mm HBG metal p-19 it-83+84/2</t>
  </si>
  <si>
    <t>LABOUR FOR CUTTING 25mm DIA  *</t>
  </si>
  <si>
    <t>Fly Ash Bricks  it-3A/8a p-16</t>
  </si>
  <si>
    <t>LABOUR FOR CUTTING 32mm DIA  *</t>
  </si>
  <si>
    <t>Crushed Stone SAND FOR MORTAR sl.98/58C p20</t>
  </si>
  <si>
    <t>LABOUR FOR CUTTING 40mm DIA  *</t>
  </si>
  <si>
    <t>CEMENT CONCRETE(1:8:16) USING</t>
  </si>
  <si>
    <t>Crushed Stone SAND FOR FILLING</t>
  </si>
  <si>
    <t>LABOUR FOR CUTTING 50mm DIA/100mm Dia  *</t>
  </si>
  <si>
    <t>40mm BRICK JELLY</t>
  </si>
  <si>
    <t>LABOUR FOR CUTTING 65mm DIA/80mm Dia  *</t>
  </si>
  <si>
    <t>CERTIFIED THAT THE LEAD PARTICULARS FURNISHED HERE ARE FOUND CORRECT UPTO BEST OF MY KNOWLEDGE</t>
  </si>
  <si>
    <t>LABOUR FOR THREADING 15mm DIA  * it-126</t>
  </si>
  <si>
    <t>A.E.E</t>
  </si>
  <si>
    <t>LABOUR FOR THREADING 20mm DIA  *</t>
  </si>
  <si>
    <t>CEMENT MORTAR(1:6)</t>
  </si>
  <si>
    <t>CEMENT MORTAR(1:8)</t>
  </si>
  <si>
    <t>LABOUR FOR THREADING 25mm DIA  *</t>
  </si>
  <si>
    <t>MASON II</t>
  </si>
  <si>
    <t>LABOUR FOR THREADING 32mm DIA /100mm Dia *</t>
  </si>
  <si>
    <t>MAZDOOR I</t>
  </si>
  <si>
    <t>JE / AE</t>
  </si>
  <si>
    <t>AEE</t>
  </si>
  <si>
    <t>EE</t>
  </si>
  <si>
    <t>LABOUR FOR THREADING 40mm DIA /80mm Dia *</t>
  </si>
  <si>
    <t>MAZDOOR II</t>
  </si>
  <si>
    <t>LABOUR FOR THREADING 50mm DIA /65mm Dia *</t>
  </si>
  <si>
    <t>COST OF JOINTING MATERIALS</t>
  </si>
  <si>
    <t>HIRE CHARGES FOR   POWER POLISHER</t>
  </si>
  <si>
    <t>TOTAL FOR 10 CUM</t>
  </si>
  <si>
    <t>ELC. CONSUMPTION CHARGES</t>
  </si>
  <si>
    <t xml:space="preserve">FLY  ASH BRICKS DATA </t>
  </si>
  <si>
    <t>LABOUR FOR FIXING WINDOW BARS p-34 it-169</t>
  </si>
  <si>
    <t>Kg*</t>
  </si>
  <si>
    <t xml:space="preserve">B.W IN C.M(1:5) using fly ash  bricks </t>
  </si>
  <si>
    <t>E.W.EXCAVATION SS 20B AS PER SR ITEM 61,62 * P-25</t>
  </si>
  <si>
    <t>CEMENT MORTAR(1:7)</t>
  </si>
  <si>
    <t>Bricks of size 23x11x7 cm</t>
  </si>
  <si>
    <t>MIXER OPERATER * p-15 S.No.83/79</t>
  </si>
  <si>
    <t>CEMENT CONCRETE(1:2:4) USING</t>
  </si>
  <si>
    <t>TESTING CHARGES FOR S.W. LINE</t>
  </si>
  <si>
    <t>20mm HBSTONE METEL</t>
  </si>
  <si>
    <t>NOS.</t>
  </si>
  <si>
    <t xml:space="preserve"> 1000NO.</t>
  </si>
  <si>
    <t>GRINDING MORTAR * 164/2 p-34</t>
  </si>
  <si>
    <t>G.I. SHEET SR156 / 114 1.6mmT.K,30cmWIDE P-23 it-162/114</t>
  </si>
  <si>
    <t>SQM*</t>
  </si>
  <si>
    <t>MASON I</t>
  </si>
  <si>
    <t>FITTER II *</t>
  </si>
  <si>
    <t xml:space="preserve">ROUGH STONE </t>
  </si>
  <si>
    <t>BOND STONE</t>
  </si>
  <si>
    <t>HARD BROKEN STONE JELLY 3mmTo10mm SIZE</t>
  </si>
  <si>
    <t>HARD BROKEN STONE JELLY  10mm SIZE</t>
  </si>
  <si>
    <t>TOTAL FOR 2.83168 CUM</t>
  </si>
  <si>
    <t>HARD BROKEN STONE JELLY 12mm SIZE</t>
  </si>
  <si>
    <t>HARD BROKEN STONE JELLY 20mm SIZE</t>
  </si>
  <si>
    <t>HARD BROKEN STONE JELLY 40mm SIZE</t>
  </si>
  <si>
    <t>TERRACOTTA JALLY 110mm/50mmT.K FIXING CHARGE</t>
  </si>
  <si>
    <t>G.F</t>
  </si>
  <si>
    <t>TERRACOTTA JALLY 110mmT.K/50mmT.K</t>
  </si>
  <si>
    <t xml:space="preserve">Qtn </t>
  </si>
  <si>
    <t>B.W IN C.M(1:5) USING CHAMBER BURNT</t>
  </si>
  <si>
    <t>F.F</t>
  </si>
  <si>
    <t>KILN BURNT COUNTRY G.M(2D) BRICK 8-3/4"X4-1/4"X2"</t>
  </si>
  <si>
    <t>Bricks of size 23X11.2X7Cm</t>
  </si>
  <si>
    <t>S.F</t>
  </si>
  <si>
    <t>SAND FOR MARTER</t>
  </si>
  <si>
    <t>T.F</t>
  </si>
  <si>
    <t>SAND FOR FILLING</t>
  </si>
  <si>
    <t>EARTH WORK EXCAVATION</t>
  </si>
  <si>
    <t>Bricks of size 22X11X5Cm</t>
  </si>
  <si>
    <t>EARTH WORK EXCAVATION for loose soil</t>
  </si>
  <si>
    <t>Forth floor</t>
  </si>
  <si>
    <t>STOCK BRICK-IISORT(2A)T.M OF SIZE 9"x4-1/2"X3"</t>
  </si>
  <si>
    <t>1000 Nos</t>
  </si>
  <si>
    <t>---------------------</t>
  </si>
  <si>
    <t>BRICK JELLY 40mm GAUGE</t>
  </si>
  <si>
    <t>EARTH WORK EXCAVATION IN SS20B</t>
  </si>
  <si>
    <t>BRICK JELLY 20mm GAUGE</t>
  </si>
  <si>
    <t>ADD 100% FOR NARROW CUTTING</t>
  </si>
  <si>
    <t>PRESSED TILES 23X23X2cm</t>
  </si>
  <si>
    <t xml:space="preserve"> 1/3REFILLING CHARGES</t>
  </si>
  <si>
    <t>SLACKED LIME</t>
  </si>
  <si>
    <t xml:space="preserve">B.W IN C.M(1:6) using fly ash bricks </t>
  </si>
  <si>
    <t>SLACKED SHELL LIME</t>
  </si>
  <si>
    <t>C.W.SCANTLING UP TO 4M LONG P-20 -it-120/77i</t>
  </si>
  <si>
    <t>C.W. PLANK 40mmT.K.UPTO30cm WIDTH</t>
  </si>
  <si>
    <t>T.W SANDLING OVER2M,BLOW3M</t>
  </si>
  <si>
    <t>RATE PER CUM INCLUDING REFILLING</t>
  </si>
  <si>
    <t>0 TO 2M</t>
  </si>
  <si>
    <t>T.W.SCANDLING UPTO 2M</t>
  </si>
  <si>
    <t>2 TO 3M</t>
  </si>
  <si>
    <t>T.W. PLANK 12mm to 25mm T.K UPTO 30cmWIDTH</t>
  </si>
  <si>
    <t>1.2</t>
  </si>
  <si>
    <t xml:space="preserve">RATE PER CUM EXCLUDING REFILLING 
</t>
  </si>
  <si>
    <t xml:space="preserve">
RATE PER CUM EXCLUDING REFILLING 
</t>
  </si>
  <si>
    <t>COUNTRY BRICK-ISORT(2B)T.M SIZE 9"x4-3/8"X2-3/4"</t>
  </si>
  <si>
    <t>1.3</t>
  </si>
  <si>
    <r>
      <t xml:space="preserve">EARTH WORK EXCAVATION  for </t>
    </r>
    <r>
      <rPr>
        <b/>
        <sz val="12"/>
        <rFont val="Helv"/>
      </rPr>
      <t>SDR</t>
    </r>
  </si>
  <si>
    <t>Loose soil</t>
  </si>
  <si>
    <t>EARTH WORK EXCAVATION IN SDR</t>
  </si>
  <si>
    <t>RATE PER CUM EXCLUDING REFILLING IN SDR</t>
  </si>
  <si>
    <t>B.W IN C.M(1:4) using  fly ash bricks</t>
  </si>
  <si>
    <r>
      <t xml:space="preserve">EARTH WORK EXCAVATION  for </t>
    </r>
    <r>
      <rPr>
        <b/>
        <sz val="12"/>
        <rFont val="Helv"/>
      </rPr>
      <t>open foundation</t>
    </r>
    <r>
      <rPr>
        <sz val="11"/>
        <color theme="1"/>
        <rFont val="Calibri"/>
        <family val="2"/>
        <charset val="1"/>
        <scheme val="minor"/>
      </rPr>
      <t>EXCLUDING REFILLING</t>
    </r>
  </si>
  <si>
    <t>RATE PER CUM EXCLUDING REFILLING</t>
  </si>
  <si>
    <t>3 to 4</t>
  </si>
  <si>
    <t>4 to 5</t>
  </si>
  <si>
    <r>
      <t xml:space="preserve">EARTH WORK EXCAVATION  for open foundation
</t>
    </r>
    <r>
      <rPr>
        <sz val="11"/>
        <color theme="1"/>
        <rFont val="Calibri"/>
        <family val="2"/>
        <charset val="1"/>
        <scheme val="minor"/>
      </rPr>
      <t>IN SDR (EXCLUDING REFILLING)</t>
    </r>
  </si>
  <si>
    <t>2.1</t>
  </si>
  <si>
    <t>FILLING IN FOUNDATION AND</t>
  </si>
  <si>
    <r>
      <t xml:space="preserve">BASEMENT  WITH  </t>
    </r>
    <r>
      <rPr>
        <b/>
        <sz val="12"/>
        <rFont val="Helv"/>
      </rPr>
      <t>FILLING WELL GRAVEL</t>
    </r>
  </si>
  <si>
    <t>Average rate for staircase steps</t>
  </si>
  <si>
    <t>LS</t>
  </si>
  <si>
    <t>COST OF FILLING GRAVEL</t>
  </si>
  <si>
    <t>PARTITION WALL</t>
  </si>
  <si>
    <r>
      <t xml:space="preserve">RATE PER CUM EXCLUDING REFILLING
</t>
    </r>
    <r>
      <rPr>
        <b/>
        <sz val="12"/>
        <rFont val="Helv"/>
      </rPr>
      <t>IN SDR (OPEN FOUNDATION)</t>
    </r>
  </si>
  <si>
    <t>B.W IN C.M(1:4) using fly ash bricks of size 23x11.4x7.5Cm</t>
  </si>
  <si>
    <t>EARTH WORK EXCAVATION FOR DRAINS</t>
  </si>
  <si>
    <t xml:space="preserve">up to 1.25m width </t>
  </si>
  <si>
    <t xml:space="preserve"> 1.5 times E.W</t>
  </si>
  <si>
    <t>From 1.25m to 2m width (1.25 times E.W)</t>
  </si>
  <si>
    <t>From 1.25m to 2m width</t>
  </si>
  <si>
    <t>MOSIC TILES GREY 25X25X2cm</t>
  </si>
  <si>
    <t>RTS/MS above 16mm dia</t>
  </si>
  <si>
    <r>
      <t xml:space="preserve">BASEMENT  WITH  </t>
    </r>
    <r>
      <rPr>
        <b/>
        <sz val="12"/>
        <rFont val="Helv"/>
      </rPr>
      <t>FILLING SAND</t>
    </r>
  </si>
  <si>
    <r>
      <t xml:space="preserve">BASEMENT  WITH  </t>
    </r>
    <r>
      <rPr>
        <b/>
        <sz val="12"/>
        <rFont val="Helv"/>
      </rPr>
      <t>FILLING GRAVEL</t>
    </r>
  </si>
  <si>
    <t>RTS/MS upto 16mm dia</t>
  </si>
  <si>
    <t>M.S. WIRE 3mm</t>
  </si>
  <si>
    <t>COST OF FILLINGSAND</t>
  </si>
  <si>
    <t>GRAVEL</t>
  </si>
  <si>
    <t>BITUMEN</t>
  </si>
  <si>
    <t>BINDING WIRE p-23 it-160/161</t>
  </si>
  <si>
    <t>TOTAL FOR 1.0 CUM</t>
  </si>
  <si>
    <t>POLISHING  STONE</t>
  </si>
  <si>
    <t xml:space="preserve">   </t>
  </si>
  <si>
    <t>**</t>
  </si>
  <si>
    <t>PARTITION WALL OF 110 mm thick</t>
  </si>
  <si>
    <t>LABOUR CHARGES FOR SPREADING  bull dozer p27 / Item68/78a</t>
  </si>
  <si>
    <t>2.2</t>
  </si>
  <si>
    <r>
      <t xml:space="preserve">PROVIDING </t>
    </r>
    <r>
      <rPr>
        <b/>
        <sz val="12"/>
        <rFont val="Helv"/>
      </rPr>
      <t>SAND  GRAVEL MIX</t>
    </r>
  </si>
  <si>
    <t>CRUDE OIL</t>
  </si>
  <si>
    <t>Kg</t>
  </si>
  <si>
    <t>IN 1:1 RATIO INCLUDING</t>
  </si>
  <si>
    <t>PARATITION B.W IN C.M(1:4)</t>
  </si>
  <si>
    <t>RED OXIDE P-43/ it-41</t>
  </si>
  <si>
    <t>COST OF SAND,GRAVEL,STACKING,LABOUR FOR</t>
  </si>
  <si>
    <r>
      <t xml:space="preserve">BASEMENT  WITH  </t>
    </r>
    <r>
      <rPr>
        <b/>
        <sz val="12"/>
        <rFont val="Helv"/>
      </rPr>
      <t>STONE DUST</t>
    </r>
  </si>
  <si>
    <t>MIXING &amp;CONSOLIDATION ETC</t>
  </si>
  <si>
    <t>COMPLETE.</t>
  </si>
  <si>
    <t>COST OFSTONE DUST</t>
  </si>
  <si>
    <t>TOTAL FOR 10 SQM</t>
  </si>
  <si>
    <t>STACKING CHARGES</t>
  </si>
  <si>
    <t>RATE PER SQM</t>
  </si>
  <si>
    <t>COST OF gravel</t>
  </si>
  <si>
    <t>LABOUR CHARGES FOR SPREADING</t>
  </si>
  <si>
    <t>WATERING&amp;POWER ROLLING</t>
  </si>
  <si>
    <t>Fourth Floor</t>
  </si>
  <si>
    <t>3.1</t>
  </si>
  <si>
    <t>CEMENT CONCRETE(1:4:8) USING</t>
  </si>
  <si>
    <t>B.W IN C.M(1:4) USING 2-B Categery using fly ash bricks</t>
  </si>
  <si>
    <t>40mm HBSTONE METEL</t>
  </si>
  <si>
    <t xml:space="preserve">  H.B.STONEJELLY 40mm</t>
  </si>
  <si>
    <t>1000NO.</t>
  </si>
  <si>
    <t>SUPLLYING AND FILLING WITH 40MM Brick jelly</t>
  </si>
  <si>
    <t>SUPLLYING AND FILLING WITH 40MM HBSJ</t>
  </si>
  <si>
    <t>SUPLLYING AND FILLING WITH 20MM Brick jelly</t>
  </si>
  <si>
    <t>COST OF 40mm HBSJ</t>
  </si>
  <si>
    <t>SUPLLYING AND FILLING WITH 20MM HBSJ</t>
  </si>
  <si>
    <t>COST OF 20mm HBSJ</t>
  </si>
  <si>
    <t>***</t>
  </si>
  <si>
    <t>PARTITION WALL OF 70mm thick</t>
  </si>
  <si>
    <t>PRATITION B.W IN C.M(1:4)</t>
  </si>
  <si>
    <t>2.5</t>
  </si>
  <si>
    <r>
      <t xml:space="preserve">Providing </t>
    </r>
    <r>
      <rPr>
        <b/>
        <sz val="12"/>
        <rFont val="Helv"/>
      </rPr>
      <t>GRAVEL SOLING</t>
    </r>
    <r>
      <rPr>
        <sz val="11"/>
        <color theme="1"/>
        <rFont val="Calibri"/>
        <family val="2"/>
        <charset val="1"/>
        <scheme val="minor"/>
      </rPr>
      <t xml:space="preserve"> of 150mm thick</t>
    </r>
  </si>
  <si>
    <t>COST OF Gravel</t>
  </si>
  <si>
    <t>Forth Floor</t>
  </si>
  <si>
    <t>WINE VERNISH</t>
  </si>
  <si>
    <t>LITTER</t>
  </si>
  <si>
    <t>CEMENT CONCRETE(1:5:10) USING</t>
  </si>
  <si>
    <t>CEMENT CONCRETE(1:3:6) USING</t>
  </si>
  <si>
    <t>LINSEED OIL (BOILED)</t>
  </si>
  <si>
    <t>BEST GOPALVARNISH REDY MIX (PWD LR) p43 It.51</t>
  </si>
  <si>
    <t>READY MIX PAINT II ND/ IST for wood p-50 sl.115</t>
  </si>
  <si>
    <t xml:space="preserve">  H.B.STONEJELLY 20mm</t>
  </si>
  <si>
    <t>READY MIX PRIMER PAINT sl.133/ p50 wood primer)</t>
  </si>
  <si>
    <t>M.S WASHER</t>
  </si>
  <si>
    <t>CHICKEN MESH 10X10X10G it-166/129 P-23</t>
  </si>
  <si>
    <t>SQM</t>
  </si>
  <si>
    <t>WELD MESH  75X25X10G / Fly proof mesh Sl.no.163 p-23</t>
  </si>
  <si>
    <t>WELD MESH 100X100X10G S.no.165 p-23</t>
  </si>
  <si>
    <t>IWC ORIYA PAN p54/161 ( white)</t>
  </si>
  <si>
    <t>S.W. SIGLE Y</t>
  </si>
  <si>
    <t>S.W.TEE 100/150mm DIA WITH ISI MARK it-192/a p-58</t>
  </si>
  <si>
    <t>S.W.PIPE 100mm DIAWITH ISI MARKit-191/a p-58</t>
  </si>
  <si>
    <t>S.W.PIPE 150mm DIAWITH ISI MARK</t>
  </si>
  <si>
    <t>S.W.BEND 100/150mm DIAWITH ISI MARK it-192/b p-58</t>
  </si>
  <si>
    <t>READY MIX PAINT II ND/ IST for iron it-136 p-50</t>
  </si>
  <si>
    <t>LTR</t>
  </si>
  <si>
    <t>3.2</t>
  </si>
  <si>
    <r>
      <t>CEMENT CONCRETE</t>
    </r>
    <r>
      <rPr>
        <b/>
        <sz val="12"/>
        <rFont val="Helv"/>
      </rPr>
      <t xml:space="preserve"> PCC (1:2:4)</t>
    </r>
    <r>
      <rPr>
        <sz val="11"/>
        <color theme="1"/>
        <rFont val="Calibri"/>
        <family val="2"/>
        <charset val="1"/>
        <scheme val="minor"/>
      </rPr>
      <t xml:space="preserve"> USING</t>
    </r>
  </si>
  <si>
    <t>S.W.TEE 150mm DIA WITH ISI MARK it-192/i p-58</t>
  </si>
  <si>
    <t>A.</t>
  </si>
  <si>
    <t>DOOR OF SIZE 70X210Cm</t>
  </si>
  <si>
    <t>T.W.SCANTLING above 2M length</t>
  </si>
  <si>
    <t>T.W.SCANTLING below 2M length</t>
  </si>
  <si>
    <t>Phenol bonded BWR Plywood 9mm</t>
  </si>
  <si>
    <t>LABOUR CHARGE</t>
  </si>
  <si>
    <t xml:space="preserve"> 6"X1/2"ALU.TOWER BOLT</t>
  </si>
  <si>
    <t xml:space="preserve"> 5" ALU.BUTT HINGS</t>
  </si>
  <si>
    <t xml:space="preserve"> 10"X5/8" ALU. ALDROP</t>
  </si>
  <si>
    <t>NYLON BUSH</t>
  </si>
  <si>
    <t>ALU.HANDLE WITH C.P.SCREWS150mm long</t>
  </si>
  <si>
    <t>DOOR STOPPER</t>
  </si>
  <si>
    <t>TOTAL FOR 1.23 SQM</t>
  </si>
  <si>
    <t>3.3</t>
  </si>
  <si>
    <r>
      <t>CEMENT CONCRETE</t>
    </r>
    <r>
      <rPr>
        <b/>
        <sz val="12"/>
        <rFont val="Helv"/>
      </rPr>
      <t>(1:8:16)</t>
    </r>
    <r>
      <rPr>
        <sz val="11"/>
        <color theme="1"/>
        <rFont val="Calibri"/>
        <family val="2"/>
        <charset val="1"/>
        <scheme val="minor"/>
      </rPr>
      <t xml:space="preserve"> USING</t>
    </r>
  </si>
  <si>
    <t>20mm brick jelly</t>
  </si>
  <si>
    <t xml:space="preserve"> 20mmbrick jelly</t>
  </si>
  <si>
    <t>|::</t>
  </si>
  <si>
    <r>
      <t>CEMENT CONCRETE</t>
    </r>
    <r>
      <rPr>
        <b/>
        <sz val="12"/>
        <rFont val="Helv"/>
      </rPr>
      <t>(1:4:8)</t>
    </r>
    <r>
      <rPr>
        <sz val="11"/>
        <color theme="1"/>
        <rFont val="Calibri"/>
        <family val="2"/>
        <charset val="1"/>
        <scheme val="minor"/>
      </rPr>
      <t xml:space="preserve"> USING</t>
    </r>
  </si>
  <si>
    <t>40mm brick jelly</t>
  </si>
  <si>
    <t xml:space="preserve"> 40mm HGJ jelly</t>
  </si>
  <si>
    <r>
      <t xml:space="preserve">PROVIDING  </t>
    </r>
    <r>
      <rPr>
        <b/>
        <sz val="12"/>
        <rFont val="Helv"/>
      </rPr>
      <t>WBM 125mm</t>
    </r>
    <r>
      <rPr>
        <sz val="11"/>
        <color theme="1"/>
        <rFont val="Calibri"/>
        <family val="2"/>
        <charset val="1"/>
        <scheme val="minor"/>
      </rPr>
      <t xml:space="preserve"> CONSOLIDATED</t>
    </r>
  </si>
  <si>
    <t>THICK WITH GRAVEL BLINDAGE</t>
  </si>
  <si>
    <t>cum</t>
  </si>
  <si>
    <t>Stacking charges</t>
  </si>
  <si>
    <t>63mm to 45mm IRC metal</t>
  </si>
  <si>
    <t>37.5mm to 26.5mm IRC metal</t>
  </si>
  <si>
    <t>Gravel blindage 2 layers</t>
  </si>
  <si>
    <t>sqm</t>
  </si>
  <si>
    <t>Spreading charges for 2 layers</t>
  </si>
  <si>
    <t>(10.1+7.72)</t>
  </si>
  <si>
    <t>Total for 10 m2</t>
  </si>
  <si>
    <t>for 1 m2</t>
  </si>
  <si>
    <r>
      <t xml:space="preserve">SURFACE DRESSING OVER </t>
    </r>
    <r>
      <rPr>
        <b/>
        <sz val="12"/>
        <rFont val="Helv"/>
      </rPr>
      <t>WBM 25mm TK.</t>
    </r>
  </si>
  <si>
    <t>11.2mm IRC metal</t>
  </si>
  <si>
    <t>Filling sand</t>
  </si>
  <si>
    <t>kg</t>
  </si>
  <si>
    <t>Bitumen</t>
  </si>
  <si>
    <t>Labour charges</t>
  </si>
  <si>
    <t>Total for 100M2</t>
  </si>
  <si>
    <t>S.W.BEND 150mm DIA p-58 it-192 b</t>
  </si>
  <si>
    <t>4.1</t>
  </si>
  <si>
    <t xml:space="preserve">REINFORCED CEMENT CONCRETE </t>
  </si>
  <si>
    <t>PARTITION WALL OF 114mmTHICK</t>
  </si>
  <si>
    <t>S.W.GULLY TRAP 150X100mm it-186 p-56</t>
  </si>
  <si>
    <t>NAHANI TRAP 63mm/75mmPVC TYP,4 way/3way p-56 it-188</t>
  </si>
  <si>
    <t>C.C(1:2:4)USING 20mm HBSTONE</t>
  </si>
  <si>
    <t>CENTERING C.W BOARDING 40mmT.K ( Silver oakplank 40mm thick) 137/78 b p-22</t>
  </si>
  <si>
    <t>JELLY FOR ALL RCCWORK</t>
  </si>
  <si>
    <t>CENTERING C.W. JOIST ( Silver oak scantling)  it-131/77d p-21</t>
  </si>
  <si>
    <t>CASURINA POST 10cm TO 13cm DIA *p-22 /146b</t>
  </si>
  <si>
    <t xml:space="preserve"> 20mm HB STONE JELLY</t>
  </si>
  <si>
    <t>CEMENT PAINT / matt paint  p50 s.128 / p43 sl.45</t>
  </si>
  <si>
    <t>GLASS 4mmTHICK p49/125</t>
  </si>
  <si>
    <t>A.C. PIPE 100mm DIA p-44 / it 66</t>
  </si>
  <si>
    <t>A.C.BEND100mm DIAp-44 /68</t>
  </si>
  <si>
    <t>A.C. SHOE 100mm DIAp-44 /67</t>
  </si>
  <si>
    <t xml:space="preserve"> 20a</t>
  </si>
  <si>
    <t>C.I EVERITE CLAMOE 100mm DIA</t>
  </si>
  <si>
    <t xml:space="preserve"> 20b</t>
  </si>
  <si>
    <t>CI GREATINGS 100mm DIA p44 sl.71</t>
  </si>
  <si>
    <t xml:space="preserve"> 20c</t>
  </si>
  <si>
    <t>G.I.SHEET 22G p43 / 61</t>
  </si>
  <si>
    <t>TOTAL FOR 10CUM</t>
  </si>
  <si>
    <t xml:space="preserve"> 20d</t>
  </si>
  <si>
    <t>ALU  HINGS 5" (PWD LR) p-45 /77a</t>
  </si>
  <si>
    <t>ALU  HINGS 4" (PWD LR)p-45 /77b</t>
  </si>
  <si>
    <t>DADOING WALL WITH MASAIC</t>
  </si>
  <si>
    <t>ALU  HINGS 3" (PWD LR)p-45 /77c</t>
  </si>
  <si>
    <t>GRADED CHIPS</t>
  </si>
  <si>
    <t>ALU  HINGS 2" (PWD LR)p-45 /77d</t>
  </si>
  <si>
    <t>VIBRATING CHARGES</t>
  </si>
  <si>
    <t>ALU TOWER BOLT 6"X1/2" (PWD LR) p46 95e</t>
  </si>
  <si>
    <t>MASIC TILES LAID IN CM 1:3</t>
  </si>
  <si>
    <t>ALU TOWER BOLT 3"X5/10"/4"x5/10"  p46 95g</t>
  </si>
  <si>
    <t>for foundation  and basement</t>
  </si>
  <si>
    <t xml:space="preserve">ALU ALDROP 10"X5.8"  p46 96 </t>
  </si>
  <si>
    <t>ALU ALDROP 6"X1/2"  p46 96d</t>
  </si>
  <si>
    <t>NYLON BUSH FOR Door ( qtn)</t>
  </si>
  <si>
    <t>NYLON BUSH FOR W&amp;V</t>
  </si>
  <si>
    <t>VENTILATER PIVET</t>
  </si>
  <si>
    <t>PAIR</t>
  </si>
  <si>
    <t>ALU HOOKS &amp; EYES8"</t>
  </si>
  <si>
    <t>ALU HOOKS &amp; EYES6"</t>
  </si>
  <si>
    <t>ALU HOOKS &amp; EYES3"</t>
  </si>
  <si>
    <t>RANDUM RABBLE MASONRY IN CM 1:5</t>
  </si>
  <si>
    <t>I.O. HINGES 4"</t>
  </si>
  <si>
    <t>PLASTERING C.M(1:3) 12mmTHICK</t>
  </si>
  <si>
    <t>I.O. HINGES 5"</t>
  </si>
  <si>
    <t>ROUGH STONE</t>
  </si>
  <si>
    <t>I.O SPL HING 8"LONG</t>
  </si>
  <si>
    <t>I.O. HINGES 3"</t>
  </si>
  <si>
    <t>I.O. HINGES 2"</t>
  </si>
  <si>
    <t>I.O. TOWER BOLT 6"X1/2"</t>
  </si>
  <si>
    <t>I.O. TOWER BOLT 2"X5/8"</t>
  </si>
  <si>
    <t>I.O. ALDROP 10"X5.8"</t>
  </si>
  <si>
    <t>I.O. ALDROP 6"X1/2"</t>
  </si>
  <si>
    <t>NYLON BUSH FOR D</t>
  </si>
  <si>
    <t>PLASTERING C.M(1:2) 12mmTHICK</t>
  </si>
  <si>
    <t>I.O HOOKS &amp; EYES8"</t>
  </si>
  <si>
    <t>I.O HOOKS &amp; EYES6"</t>
  </si>
  <si>
    <t xml:space="preserve">I.O HOOKS &amp; EYES3" Qtn </t>
  </si>
  <si>
    <t xml:space="preserve">B.W IN C.M(1:5) using kiln burnt country bricks </t>
  </si>
  <si>
    <t xml:space="preserve">B.W IN C.M(1:5) USING Chamber </t>
  </si>
  <si>
    <t xml:space="preserve">B.W IN C.M(1:5) using chamber burnt  bricks </t>
  </si>
  <si>
    <t>C.I. SOIL PIPE</t>
  </si>
  <si>
    <t>Bricks of size 22x11x7 cm</t>
  </si>
  <si>
    <t>Bricks of size 23x11.2x7 cm</t>
  </si>
  <si>
    <t>Bricks of size 23x11.4x7.5 cm</t>
  </si>
  <si>
    <t xml:space="preserve"> 50mm DIA</t>
  </si>
  <si>
    <t xml:space="preserve"> 75mm DIA</t>
  </si>
  <si>
    <t>1000Nos.</t>
  </si>
  <si>
    <t xml:space="preserve"> 100mm DIA</t>
  </si>
  <si>
    <t xml:space="preserve"> 150mm DIA</t>
  </si>
  <si>
    <t>C.I. SOIL BEND</t>
  </si>
  <si>
    <t>PLASTERING C.M(1:2) 10mmTHICK</t>
  </si>
  <si>
    <t>C.I. SOIL BEND WITHDOOR</t>
  </si>
  <si>
    <t>A.C. SOIL PIPE</t>
  </si>
  <si>
    <t>7.2</t>
  </si>
  <si>
    <r>
      <t xml:space="preserve">PROVIDING </t>
    </r>
    <r>
      <rPr>
        <b/>
        <sz val="12"/>
        <rFont val="Helv"/>
      </rPr>
      <t>BITUMEN PAD</t>
    </r>
    <r>
      <rPr>
        <sz val="11"/>
        <color theme="1"/>
        <rFont val="Calibri"/>
        <family val="2"/>
        <charset val="1"/>
        <scheme val="minor"/>
      </rPr>
      <t xml:space="preserve"> FOR EXPANISION </t>
    </r>
  </si>
  <si>
    <t>/SQM</t>
  </si>
  <si>
    <t>JOINT it-233 b p-62</t>
  </si>
  <si>
    <t xml:space="preserve">B.W IN C.M(1:6) using kiln burnt country bricks </t>
  </si>
  <si>
    <t xml:space="preserve">B.W IN C.M(1:6) USING Chamber  </t>
  </si>
  <si>
    <t xml:space="preserve">B.W IN C.M(1:6) using chamber burnt </t>
  </si>
  <si>
    <t>A.C. SOIL BEND</t>
  </si>
  <si>
    <t>PLASTERING C.M(1:5) 20mmTHICK</t>
  </si>
  <si>
    <t>A.C. SOIL BEND WITHDOOR</t>
  </si>
  <si>
    <t>A.C. SOIL TEE</t>
  </si>
  <si>
    <t>PLASTERING C.M(1:3) 20mmTHICK</t>
  </si>
  <si>
    <t>==========</t>
  </si>
  <si>
    <t>A.C. SOIL TEE WITH DOOR</t>
  </si>
  <si>
    <t>A.C. SOIL  SINGLE YEE</t>
  </si>
  <si>
    <t xml:space="preserve">B.W IN C.M(1:4) using kiln burnt country bricks </t>
  </si>
  <si>
    <t xml:space="preserve">B.W IN C.M(1:4) USING Chamber  </t>
  </si>
  <si>
    <t>A.C. SOIL  SINGLE YEE WITHDOOR</t>
  </si>
  <si>
    <t>PLASTERING C.M(1:4) 20mmTHICK</t>
  </si>
  <si>
    <t>MIXEDWITH RED OXIDE @9.8</t>
  </si>
  <si>
    <t>Kg/10 SQM</t>
  </si>
  <si>
    <t xml:space="preserve">B.W IN C.M(1:4) using  using chamber burnt </t>
  </si>
  <si>
    <t>A.C. SOIL  DOUBLE YEE WITHDOOR</t>
  </si>
  <si>
    <t>no.</t>
  </si>
  <si>
    <t>mason for polishing</t>
  </si>
  <si>
    <t>A.C. SOIL DOUBLE YEE</t>
  </si>
  <si>
    <t>RED OXIDE</t>
  </si>
  <si>
    <t>A.C. SOIL COWL</t>
  </si>
  <si>
    <t>A.C. SOIL SHOE</t>
  </si>
  <si>
    <t>WHITE WASHING ONE COAT</t>
  </si>
  <si>
    <t>B.W IN C.M(1:4) using Country BricksKiln Burnt  SIZE 22x11x7Cm</t>
  </si>
  <si>
    <t>B.W IN C.M(1:4) USING Country BricksKiln Burnt  SIZE 22x11x7Cm</t>
  </si>
  <si>
    <t>A.C. SOIL SOCKETS</t>
  </si>
  <si>
    <t>SUNDRIES FOR BRUSH ETC</t>
  </si>
  <si>
    <t>A.C.DRAIN SPOUT 18" LONG</t>
  </si>
  <si>
    <t>TOTAL FOR 100 SQM</t>
  </si>
  <si>
    <t>B.W IN C.M(1:4) using Chamber burnt Bricks of size 23x11.4x7.5Cm</t>
  </si>
  <si>
    <t>A.C.DRAIN SPOUT 24" LONG</t>
  </si>
  <si>
    <t>-------------------</t>
  </si>
  <si>
    <t>WHITE WASHING TWO COAT</t>
  </si>
  <si>
    <t>G.I. PIPE B  CLASS</t>
  </si>
  <si>
    <t>===========</t>
  </si>
  <si>
    <t xml:space="preserve"> 15mmDIA p-51 TO 52 it- </t>
  </si>
  <si>
    <t xml:space="preserve"> 20mm DIA</t>
  </si>
  <si>
    <t>PARTITION WALL OF 112 mm thick</t>
  </si>
  <si>
    <t xml:space="preserve"> 25mm DIA</t>
  </si>
  <si>
    <t xml:space="preserve"> 32mm DIA</t>
  </si>
  <si>
    <t xml:space="preserve"> 40mm DIA</t>
  </si>
  <si>
    <t xml:space="preserve"> 65mm DIA pWD</t>
  </si>
  <si>
    <t>G.I. BEND p-51  S.No-143 it-c</t>
  </si>
  <si>
    <t xml:space="preserve"> 15mmDIA</t>
  </si>
  <si>
    <t>COLOUR WASHING  TWO COATS</t>
  </si>
  <si>
    <t>PARTITION WALL OF 114 mm thick</t>
  </si>
  <si>
    <t>ADD 50% EXYRA FOR COLOURING</t>
  </si>
  <si>
    <t>MAATERIAL</t>
  </si>
  <si>
    <t xml:space="preserve"> 65mm DIA TWAD 16-17 p 25</t>
  </si>
  <si>
    <t>G.I.COUPLERp-51 it-e</t>
  </si>
  <si>
    <t>B.W IN C.M(1:4) USING 2-B Categery</t>
  </si>
  <si>
    <t xml:space="preserve">COLOUR  WASHING TWO COATS OVER </t>
  </si>
  <si>
    <t>ONE COAT OF WHITE WASHING.</t>
  </si>
  <si>
    <t xml:space="preserve"> 65mm DIA TWAD p 25</t>
  </si>
  <si>
    <t>G.I. ELBOWp-51 S.No.119/ it-b</t>
  </si>
  <si>
    <t>5th</t>
  </si>
  <si>
    <t>6th</t>
  </si>
  <si>
    <t>7th</t>
  </si>
  <si>
    <t xml:space="preserve">8th </t>
  </si>
  <si>
    <t>9th</t>
  </si>
  <si>
    <t xml:space="preserve">12th </t>
  </si>
  <si>
    <t>G.I. UNIONp-51 it-A</t>
  </si>
  <si>
    <t>WATER SUPPLY</t>
  </si>
  <si>
    <t>13th</t>
  </si>
  <si>
    <t>LABOUR CHARGE FOR  LAYING</t>
  </si>
  <si>
    <t>JOINTING GI PIPE AND SPECIALS</t>
  </si>
  <si>
    <t>BELOW G.L</t>
  </si>
  <si>
    <t>A</t>
  </si>
  <si>
    <t>15mm DIA  GI PIPE BELOW G.L</t>
  </si>
  <si>
    <t xml:space="preserve"> 65mm DIA</t>
  </si>
  <si>
    <t>G.I. PLUG</t>
  </si>
  <si>
    <t>E.W EXCLUDING REFILLING</t>
  </si>
  <si>
    <t>REFILLING CHARGE</t>
  </si>
  <si>
    <t>CONVEYING,LOWERING  ANDLAYING</t>
  </si>
  <si>
    <t>TO PROPER GRADEAND</t>
  </si>
  <si>
    <t>ALIGNMENT,JOINTING</t>
  </si>
  <si>
    <t>ETC BUT EXCLUDING  COST OF</t>
  </si>
  <si>
    <t>JOINTING MATERIALS.</t>
  </si>
  <si>
    <t>PARTITION WALL OF 75mm thick</t>
  </si>
  <si>
    <t xml:space="preserve">PARTITION WALL </t>
  </si>
  <si>
    <t>CUTTING CHARGES</t>
  </si>
  <si>
    <t>G.I. TEE p-51 it-D</t>
  </si>
  <si>
    <t>==============</t>
  </si>
  <si>
    <t>THREADING CHARGES</t>
  </si>
  <si>
    <t>B.W IN C.M(1:4) USING 4-A Categery</t>
  </si>
  <si>
    <t>COST OF JOINTING  MATERIALS</t>
  </si>
  <si>
    <t>Bricks of size 22X11X5 cm</t>
  </si>
  <si>
    <t>TOTAL FOR 30M</t>
  </si>
  <si>
    <t>RATE PER RMT</t>
  </si>
  <si>
    <t xml:space="preserve"> 65mm DIA twad p25</t>
  </si>
  <si>
    <t>G.I.HEX NIPPLEp-53 it-I</t>
  </si>
  <si>
    <t>B</t>
  </si>
  <si>
    <t>20mm DIA  GI PIPE BELOW G.L</t>
  </si>
  <si>
    <t>G.M. FERRULE</t>
  </si>
  <si>
    <t>PARTITION WALL OF 50mmTHICK</t>
  </si>
  <si>
    <t xml:space="preserve">Standardised concrete mix M20 </t>
  </si>
  <si>
    <t xml:space="preserve">Standardised concrete mix M30 </t>
  </si>
  <si>
    <t>SCRAPING THE OLD PLASTER SURFACE * p30/108/338</t>
  </si>
  <si>
    <t>16.1</t>
  </si>
  <si>
    <t>CEMENT CONCRETE(1:2:4) FOR</t>
  </si>
  <si>
    <t>WASHING PLASTERED AREA WITH SOAP&amp;SODA WATER *p30/109/339</t>
  </si>
  <si>
    <t xml:space="preserve">PETTY WORKS EXCLUDING COST </t>
  </si>
  <si>
    <t>PILE DRIVING CHARGES FOR 330mmDIA/375mm DIA</t>
  </si>
  <si>
    <t>OF STEEL M 2</t>
  </si>
  <si>
    <t>PILE DRIVING CHARGES FOR 400mmDIA/450mm DIA</t>
  </si>
  <si>
    <t>PILE DRIVING CHARGES FOR 500mmDIA/600mm DIA</t>
  </si>
  <si>
    <t>Standardised concrete mix M20  using 20mmHB JELLY ( witt out vibrating charges)</t>
  </si>
  <si>
    <t>Standardised concrete mix M30  using 20mmHB JELLY ( witt out vibrating charges)</t>
  </si>
  <si>
    <t>|</t>
  </si>
  <si>
    <t xml:space="preserve"> 15mmDIA G.M.CHEKVALUE</t>
  </si>
  <si>
    <t xml:space="preserve">SUNDRIES FOR MOULDING </t>
  </si>
  <si>
    <t xml:space="preserve"> 20mm DIA G.M.CHEKVALUE</t>
  </si>
  <si>
    <t>C</t>
  </si>
  <si>
    <t>25mm DIA  GI PIPE BELOW G.L</t>
  </si>
  <si>
    <t>FINISHING,OIL ETC</t>
  </si>
  <si>
    <t>TOTAL FOR .01 CUM</t>
  </si>
  <si>
    <t>CC(1:2:4) USING 20mmHB</t>
  </si>
  <si>
    <t>JALLY-50mm THICK</t>
  </si>
  <si>
    <t>C.C(1:2:4)USING 20mmJELLY</t>
  </si>
  <si>
    <t>FOR PETTY WORKS</t>
  </si>
  <si>
    <t>G.M.GATE VALUE (Heavy Duty)p-53it-144</t>
  </si>
  <si>
    <t>13.1</t>
  </si>
  <si>
    <t xml:space="preserve">FILLING IN BASEMENT  WITH </t>
  </si>
  <si>
    <t>EXCAVATED EARTH</t>
  </si>
  <si>
    <t>AS  PER SR 85</t>
  </si>
  <si>
    <t>TOTAL FOR0.372 SQM</t>
  </si>
  <si>
    <t>DAMP PROOF COURSE IN C.M(1:4),12mm thick</t>
  </si>
  <si>
    <t>mixed with Water Proof Compound at 1KG per Bag of Cement</t>
  </si>
  <si>
    <t xml:space="preserve">                                                                                                                                                                                                                                                                                                                                                                                                                                                                                                                                                                                                                                                                                                                                                                                                                                                                                                                                                                                                                                                                                                                                                                                                                                                                                                                                                                                                                                                                                                                                                                                                                                                                                                                                                                                                                                                                                                                                                                                                                                                                                                                                                                                                                                                                                                                                                                                                                                                                                                                                                                                                                                                                                                                                                                                                                                                                                                                                                                                                                                                                                                                                                                                                                                                                                                                                                                                                                                                                                                                                                                                                                                                                                                                                                                                                                                                                                                                                                                                                                                                                                                                                                                                                                                                                                                                                                                                                                                                                                                                                                                                                                                                                                                                                                                                                                                                                                                                                                                                                                                                                                                                                                                                                                                                                                                                                                                                                                                                                                                                                                                                          </t>
  </si>
  <si>
    <t>G.M.WHEELVALUE  (Heavy Duty)p-53it-145</t>
  </si>
  <si>
    <t>FOURTH FLOOR</t>
  </si>
  <si>
    <t xml:space="preserve">Water Proof Compound </t>
  </si>
  <si>
    <t>ABOVE G.L</t>
  </si>
  <si>
    <t>G.I.REDUCER p-52 it-143F</t>
  </si>
  <si>
    <t xml:space="preserve"> 15mmDIAX20mmDIA  (v)</t>
  </si>
  <si>
    <t>15mm  DIA G.I PIPE ABOVE G.L</t>
  </si>
  <si>
    <t xml:space="preserve"> 15mmDIAX25mmDIA</t>
  </si>
  <si>
    <t xml:space="preserve"> 25mmDIAX20mmDIA (iv)</t>
  </si>
  <si>
    <t>LAYING JOINTING INCLUDING</t>
  </si>
  <si>
    <t xml:space="preserve"> 50mmDIAX25mmDIA</t>
  </si>
  <si>
    <t>C.C(1:2:4)USING 3mm-10mm HBSTONE</t>
  </si>
  <si>
    <t>ALIGNING</t>
  </si>
  <si>
    <t xml:space="preserve"> 50mmDIAX32mmDIA</t>
  </si>
  <si>
    <t>G.I.REDUCER  TEEp-52 it-143H</t>
  </si>
  <si>
    <t xml:space="preserve"> 15mmDIAX20mmDIA</t>
  </si>
  <si>
    <t xml:space="preserve">  3mm-10mm HB STONE JELLY</t>
  </si>
  <si>
    <t>STONE CUTTER II</t>
  </si>
  <si>
    <t>MADON I</t>
  </si>
  <si>
    <t xml:space="preserve"> 25mmDIAX20mmDIA</t>
  </si>
  <si>
    <t>COST OF CLAMPS PLUGS PAINTING</t>
  </si>
  <si>
    <t>G.I.REDUCER  ELBOW p52 it-G</t>
  </si>
  <si>
    <t>REDOING WORKS ETC</t>
  </si>
  <si>
    <t>TOTAL FOR 30 M</t>
  </si>
  <si>
    <t xml:space="preserve"> 32mmX15mmDIA</t>
  </si>
  <si>
    <t>P.V.C.PIPE</t>
  </si>
  <si>
    <t xml:space="preserve"> 4KG/SQ.CM</t>
  </si>
  <si>
    <t>20mm  DIA G.I PIPE ABOVE G.L</t>
  </si>
  <si>
    <t xml:space="preserve"> 15mmDIA OF WALL THICK 2.8mm A.S.T.M (Qtn)</t>
  </si>
  <si>
    <t xml:space="preserve"> 20mm DIA----DO----2.9mm / 20 mm G.I. pipe</t>
  </si>
  <si>
    <t>RATE PER CUM with vibrating</t>
  </si>
  <si>
    <t xml:space="preserve"> 25mm DIA----DO-----3.4mm</t>
  </si>
  <si>
    <t xml:space="preserve"> 32mm DIA-----DO----3.6mm</t>
  </si>
  <si>
    <t xml:space="preserve"> 25a</t>
  </si>
  <si>
    <t xml:space="preserve"> 40mm DIA----DO----3.7mm</t>
  </si>
  <si>
    <t xml:space="preserve"> 25b</t>
  </si>
  <si>
    <t xml:space="preserve"> 50mm DIA----DO----3.9mm</t>
  </si>
  <si>
    <t xml:space="preserve"> 25c</t>
  </si>
  <si>
    <t>P.V.C.SOCKET</t>
  </si>
  <si>
    <t xml:space="preserve"> 25d</t>
  </si>
  <si>
    <t>14.I</t>
  </si>
  <si>
    <t xml:space="preserve"> P.C.C,R.C.C SLAB OF20mm THICK</t>
  </si>
  <si>
    <t>Standardised concrete mix M20</t>
  </si>
  <si>
    <t>Standardised concrete mix M30</t>
  </si>
  <si>
    <t>C.C(1:2:4)USING3mm-10mm HBG</t>
  </si>
  <si>
    <r>
      <t xml:space="preserve"> P.C.C,R.C.C SLAB OF20mm THICK </t>
    </r>
    <r>
      <rPr>
        <b/>
        <sz val="12"/>
        <rFont val="Helv"/>
      </rPr>
      <t>using standardised concrete mix M20</t>
    </r>
  </si>
  <si>
    <r>
      <t xml:space="preserve"> P.C.C,R.C.C SLAB OF20mm THICK </t>
    </r>
    <r>
      <rPr>
        <b/>
        <sz val="12"/>
        <rFont val="Helv"/>
      </rPr>
      <t>using standardised concrete mix M30</t>
    </r>
  </si>
  <si>
    <t>P.V.C.ELBOW</t>
  </si>
  <si>
    <t>TOTAL FOR 0.743 SQM</t>
  </si>
  <si>
    <t>25mm  DIA G.I PIPE ABOVE G.L</t>
  </si>
  <si>
    <t>P.V.C.TEE</t>
  </si>
  <si>
    <t>14.II</t>
  </si>
  <si>
    <t xml:space="preserve"> P.C.C,R.C.C SLAB OF40mm THICK</t>
  </si>
  <si>
    <r>
      <t xml:space="preserve"> P.C.C,R.C.C SLAB OF40mm THICK </t>
    </r>
    <r>
      <rPr>
        <b/>
        <sz val="12"/>
        <rFont val="Helv"/>
      </rPr>
      <t>using standardised concrete mix of M20 grade</t>
    </r>
  </si>
  <si>
    <t>P.V.C.REDUCER SOCKET</t>
  </si>
  <si>
    <t xml:space="preserve">standardised concrete mix M20 </t>
  </si>
  <si>
    <t xml:space="preserve"> 12mmDIAX25mmDIA</t>
  </si>
  <si>
    <t xml:space="preserve"> 40mmDIAX25mmDIA</t>
  </si>
  <si>
    <t xml:space="preserve"> 32mmDIAX40mmDIA</t>
  </si>
  <si>
    <t>P.V.C.REDUCER TEE</t>
  </si>
  <si>
    <t>RATE PER SQM (Foundation and basement)</t>
  </si>
  <si>
    <t xml:space="preserve"> 32mmDIAX25mmDIA</t>
  </si>
  <si>
    <t>JOINTING P.V.C  PIPE AND SPECIALS</t>
  </si>
  <si>
    <t>Fourth .floor</t>
  </si>
  <si>
    <t>Providing CUDDAPPAH SLAB for cupboard</t>
  </si>
  <si>
    <t>P.V.C.REDUCER ELBOW</t>
  </si>
  <si>
    <t>wardrobe, shelves, kitchen sinks,</t>
  </si>
  <si>
    <t>hearth slab and sunshade etc., for the</t>
  </si>
  <si>
    <t>UP 40MM PVC PIPE</t>
  </si>
  <si>
    <t>following thickness including cost of</t>
  </si>
  <si>
    <t>Cuddappah slab and labour charges for</t>
  </si>
  <si>
    <t>fixing in position etc., all complete</t>
  </si>
  <si>
    <t xml:space="preserve"> 40mmDIAX32mmDIA</t>
  </si>
  <si>
    <t>(Both sides polished)</t>
  </si>
  <si>
    <t xml:space="preserve"> 50mmDIAX40mmDIA</t>
  </si>
  <si>
    <t>TO PROPER GRADE AND</t>
  </si>
  <si>
    <t>C.I.COVER SLAB 18"X18"X56LBS(25Kg)</t>
  </si>
  <si>
    <t xml:space="preserve"> 20mm Thick slab:-</t>
  </si>
  <si>
    <t xml:space="preserve"> 40mm Thick slab:-</t>
  </si>
  <si>
    <t>C.I.COVER SLAB 18"X18"X36LBS(16Kg)</t>
  </si>
  <si>
    <t>==================</t>
  </si>
  <si>
    <t>C.I.COVER SLAB 24"X24"X112LBS(50Kg)</t>
  </si>
  <si>
    <t>Sqm</t>
  </si>
  <si>
    <t>Cuddappah slab</t>
  </si>
  <si>
    <t>C.I.STEEPS(5Kg)</t>
  </si>
  <si>
    <t>No.</t>
  </si>
  <si>
    <t>Mason Ist</t>
  </si>
  <si>
    <t>Each</t>
  </si>
  <si>
    <t>C.I..BRACKET FOR W.B.</t>
  </si>
  <si>
    <t>Mazdoor Ist</t>
  </si>
  <si>
    <t>BRASS TAP 15mm / 12 mm dia (HEAVY) p - 53 it-146</t>
  </si>
  <si>
    <t>Packing with C.M., Scaffolding</t>
  </si>
  <si>
    <t>C.P.TAP15mm DIA</t>
  </si>
  <si>
    <t>and Polishing etc.,</t>
  </si>
  <si>
    <t>C.P.WASTE PLUGE WITH ALU CHAIN 32mm DIA</t>
  </si>
  <si>
    <t>Total for Ten sqm</t>
  </si>
  <si>
    <t>P.V.C. WASTE PIPE32mmDIA 2.5'LONG</t>
  </si>
  <si>
    <t>P.V.C.FLUSHING PIPE 32mm DIA 6'LONG</t>
  </si>
  <si>
    <t>Rate for one SQM</t>
  </si>
  <si>
    <t>P.V.C. CONECTION 1/2"X15"</t>
  </si>
  <si>
    <t>ALU TOWEL RAIL 12mm ,2'LONG</t>
  </si>
  <si>
    <t>CONSTRN. OF INSPECTION</t>
  </si>
  <si>
    <t>ALU TOWEL RAIL 20mm ,2'LONG</t>
  </si>
  <si>
    <t>CHAMBER OF SIZE 60X60X60cm</t>
  </si>
  <si>
    <t>P.V.C. LOW LEVEL CISTERN 10 LITCAPACITY p-68 220a</t>
  </si>
  <si>
    <t>P.V.C. S.D TAP 15mm DIA</t>
  </si>
  <si>
    <t>E.W AND REFILLING</t>
  </si>
  <si>
    <t xml:space="preserve"> 40mm Thick slab:- for sun shade only</t>
  </si>
  <si>
    <t>E.W.C./SEAT COVER BLACK(H)</t>
  </si>
  <si>
    <t>C.C(1:8:16)USING 40mmB.J METEL</t>
  </si>
  <si>
    <t>EVERITE CLAMP IRON CLAMP P-59 (Sl.No.212) (Special clamp)</t>
  </si>
  <si>
    <t>B.W IN C.M(1:5)</t>
  </si>
  <si>
    <t>150mm AL.HANDLE WITH CP SCREWS/DOOR STOPPER (PWD LR) p-47 it-104b/107</t>
  </si>
  <si>
    <t xml:space="preserve"> it-99 p-46</t>
  </si>
  <si>
    <t>8th</t>
  </si>
  <si>
    <t>PLASTERING IN C.M(1:3) 12 mmT.K</t>
  </si>
  <si>
    <t>C.P.STOPCOCK 20mM DIA 500 gm</t>
  </si>
  <si>
    <t>R.C.C(1:2:4) PETTY WORKS</t>
  </si>
  <si>
    <t>C.P.STOPCOCK 15mM DIA 300gm P 54</t>
  </si>
  <si>
    <t>(50mmT.K PCC SLAB)</t>
  </si>
  <si>
    <t>CERAMIC-FLOOR TILES WHITE/PLAINCOLOUR-6MM tk (PWD LR) p40 it 5i (32.2/0.093025)</t>
  </si>
  <si>
    <t>SUNDRIES FOR MOULDIN ETC</t>
  </si>
  <si>
    <r>
      <t xml:space="preserve">Glazed-WALL TILES PLAINCOLOUR-6MM T.K (PWD LR) 100x200x6mm 
</t>
    </r>
    <r>
      <rPr>
        <b/>
        <sz val="12"/>
        <color indexed="8"/>
        <rFont val="Helv"/>
      </rPr>
      <t>item no. 11(ii)</t>
    </r>
  </si>
  <si>
    <t>G.M.VALUE WITH POLYTHENE BALL OF 15mmDIA</t>
  </si>
  <si>
    <t>TOTAL FOR ONE NUMBER</t>
  </si>
  <si>
    <t>G.M.VALUE WITH POLYTHENE BALL OF 20mmDIA</t>
  </si>
  <si>
    <t>G.M.VALUE WITH POLYTHENE BALL OF 25mmDIA</t>
  </si>
  <si>
    <t>C.P. SHOWER ROSE 1/2"X4"</t>
  </si>
  <si>
    <t>CHAMBER OF SIZE 60X60X75cm</t>
  </si>
  <si>
    <t>TARRED HEMP YARN p- 58 /194</t>
  </si>
  <si>
    <t>StonecutterII</t>
  </si>
  <si>
    <t>WHITE / Colour CEMENT (PWD LR) average p-41 it22+23/2</t>
  </si>
  <si>
    <t>WHITE CEMENT (PWD LR) p-41 /9</t>
  </si>
  <si>
    <t>COLOUR CEMENT (PWD LR)p-41/10</t>
  </si>
  <si>
    <t>Total for one sqm</t>
  </si>
  <si>
    <t>BRASS HEX NIPPLE15mm DIA</t>
  </si>
  <si>
    <t>BRASS HEX NIPPLE 20mm DIA</t>
  </si>
  <si>
    <t>COLOUR</t>
  </si>
  <si>
    <t>E.W.C. WITH S  TRAP it-162( 1)p-54</t>
  </si>
  <si>
    <t>SET</t>
  </si>
  <si>
    <t>ANGLO INDIAN WATER CLOSET WITH P OR S TRAP</t>
  </si>
  <si>
    <t>I.W.C. 18" WITH P OR S TRAP WITH FOOT REST</t>
  </si>
  <si>
    <t>PORCELIN FOOT REST</t>
  </si>
  <si>
    <t>WASH BASIN 480x400mm without pedastal it-169 p-55</t>
  </si>
  <si>
    <t>C.</t>
  </si>
  <si>
    <r>
      <t xml:space="preserve"> 20mm Thick slab:- For </t>
    </r>
    <r>
      <rPr>
        <b/>
        <sz val="12"/>
        <rFont val="Helv"/>
      </rPr>
      <t>kitchen arrangements only</t>
    </r>
  </si>
  <si>
    <t>FLATE BACK URINAL FOR MEN</t>
  </si>
  <si>
    <t>FLATE BACK URINAL FOR WOMEN it-173 I -p-55</t>
  </si>
  <si>
    <t>Cuddappah slab (One side polised).it-100 p-19</t>
  </si>
  <si>
    <t>CONSTRUCTION OF LEACH PIT AS</t>
  </si>
  <si>
    <t>P.V.C. SOIL PIPE 110mm DIA</t>
  </si>
  <si>
    <t>C.M 1:3</t>
  </si>
  <si>
    <t>PER SD NO 49/77</t>
  </si>
  <si>
    <t>P.V.C. SOIL PIPE 75mm DIA</t>
  </si>
  <si>
    <t>P.V.C. SOIL PIPE 50mm DIA</t>
  </si>
  <si>
    <t>E.W ONLY</t>
  </si>
  <si>
    <r>
      <t xml:space="preserve">P.V.C. SOIL BENDWITH DOOR 110mm DIA </t>
    </r>
    <r>
      <rPr>
        <b/>
        <sz val="12"/>
        <color indexed="13"/>
        <rFont val="Helv"/>
      </rPr>
      <t xml:space="preserve">Qtn </t>
    </r>
  </si>
  <si>
    <t>C.C(1:8:16)USING 40mm HBS</t>
  </si>
  <si>
    <t>P.V.C. SOIL BENDWITH DOOR 75mm DIA</t>
  </si>
  <si>
    <t>B.W. IN C.M(1:6) USING COUNTRY BRICK</t>
  </si>
  <si>
    <t>P.V.C. SOIL BENDWITH DOOR 50mm DIA</t>
  </si>
  <si>
    <t>Total for TEN sqm</t>
  </si>
  <si>
    <t>DRY BRICK WORK</t>
  </si>
  <si>
    <t>P.V.C. SOIL SHOE 110mm DIA p-104 it -N</t>
  </si>
  <si>
    <t xml:space="preserve"> 40mm HBS JELLY</t>
  </si>
  <si>
    <t>P.V.C. SOIL SHOE 75mm DIA</t>
  </si>
  <si>
    <t>RATE for one sqm</t>
  </si>
  <si>
    <t>P.V.C. SOIL SHOE 50mm DIA</t>
  </si>
  <si>
    <t>PLASTERING IN C.M(1:5)12mm T.K</t>
  </si>
  <si>
    <t xml:space="preserve">P.V.C. SOIL BEND W.O.D 110mm DIA p-102 it F by pasting </t>
  </si>
  <si>
    <t>SUPPLY OF 100mmS.W TEE</t>
  </si>
  <si>
    <t>P.V.C. SOIL BEND 75mm DIA</t>
  </si>
  <si>
    <t>R.C.C.(1:2:4) FOR PETTY WORK</t>
  </si>
  <si>
    <t>P.V.C. SOIL BEND 50mm DIA</t>
  </si>
  <si>
    <t>PCC-75MM T.K SLAB</t>
  </si>
  <si>
    <t xml:space="preserve">P.V.C. SOIL YEE 110mm DIA it-G p-103 by pasting </t>
  </si>
  <si>
    <t>P.V.C. SOIL YEE 75mm DIA</t>
  </si>
  <si>
    <t>P.V.C. SOIL YEE 50mm DIA</t>
  </si>
  <si>
    <t>P.V.C. SOIL YEEWITH DOOR 110mm DIA it-H p-103 single</t>
  </si>
  <si>
    <t>OF STEEL</t>
  </si>
  <si>
    <t>P.V.C. SOIL YEEWITH DOOR 75mm DIA</t>
  </si>
  <si>
    <t>CONSTRUCTION OF DISPERSION</t>
  </si>
  <si>
    <t>C.C(1:2:4)USING 20mmHB JELLY</t>
  </si>
  <si>
    <t>P.V.C. SOIL YEEWITH DOOR 50mm DIA</t>
  </si>
  <si>
    <t>TRENCH OF SIZE 3MX1MX1M</t>
  </si>
  <si>
    <t>4.2</t>
  </si>
  <si>
    <t>P.V.C. SOIL DOUBLE  YEE WITH DOOR 110mm ( double) it-K</t>
  </si>
  <si>
    <t>JELLY FOR ALL WATER RETAINING</t>
  </si>
  <si>
    <t xml:space="preserve">P.V.C. SOIL DOUBLE YEE WITH DOOR 75mm </t>
  </si>
  <si>
    <t>E.W EXCAVATION</t>
  </si>
  <si>
    <t>STRUCTURES AND R.C.C DOOR FRAMES</t>
  </si>
  <si>
    <t xml:space="preserve">P.V.C. SOIL DOUBLE YEE WITH DOOR 50mm </t>
  </si>
  <si>
    <t>SUPPLY OF 40mmB.J. METEL</t>
  </si>
  <si>
    <t>P.V.C. SOIL TEE 110mm DIA it C P-102</t>
  </si>
  <si>
    <t xml:space="preserve"> 100mm DIA S.W.PIPE</t>
  </si>
  <si>
    <t xml:space="preserve"> 3-10mmH.B.JELLY</t>
  </si>
  <si>
    <t>P.V.C. SOIL TEE 75mm DIA</t>
  </si>
  <si>
    <t>P.V.C. SOIL TEE 50mm DIA</t>
  </si>
  <si>
    <t>P.V.C. SOIL TEE WITH DOOR  110mm DIA (single) it-D P-102</t>
  </si>
  <si>
    <t>P.V.C. SOIL TEE WITH DOOR  75mm DIA</t>
  </si>
  <si>
    <t>P.V.C. SOIL TEE WITH DOOR  50mm DIA</t>
  </si>
  <si>
    <t>P.V.C. SOIL SLOTTED COWL 110mm DIA it-N P-104</t>
  </si>
  <si>
    <t>CONSTRUCTION OF SEPTIC TANK</t>
  </si>
  <si>
    <t>Plasticiser</t>
  </si>
  <si>
    <t>P.V.C. SOIL  SLOTTED COWL PIPE 75mm DIA</t>
  </si>
  <si>
    <t>OF SIZE 150X75X100cm( BER NO</t>
  </si>
  <si>
    <t>P.V.C. SOIL SLOTTEDCOWL 50mm DIA</t>
  </si>
  <si>
    <t>6/91-92)</t>
  </si>
  <si>
    <t>P.V.C. SOIL DOUBLE YEEE 110mm DIA</t>
  </si>
  <si>
    <t>P.V.C. SOIL DOUBLE YEE 75mm DIA</t>
  </si>
  <si>
    <t>WATER PROOF COMPOUND ( PWD LR)p40 it-1 An-vi</t>
  </si>
  <si>
    <t xml:space="preserve"> CC(1:2:4)IN20mmmHBS(PLAIN)</t>
  </si>
  <si>
    <t>ROUND RING</t>
  </si>
  <si>
    <t>A.C. SHEETFULLY CORRUGATED 6mmT.K (PWD LR -it-72 p-44)</t>
  </si>
  <si>
    <t>PLASTERING IN C.M(1:3)12mmT.K</t>
  </si>
  <si>
    <t>Add watering charges &amp; other (0.5%of sub-total)</t>
  </si>
  <si>
    <t>A.C. SHEET SEMI CORRUGATED 6mmT.K</t>
  </si>
  <si>
    <t>R.C.C(1:2:4)USING 20mmHBS</t>
  </si>
  <si>
    <t>A.C. RIDGE FOR FULLYCORRUGATED AC SHEET (PWD Lrit-57 p-39)</t>
  </si>
  <si>
    <t xml:space="preserve">PCC SLAB 50mm T.K </t>
  </si>
  <si>
    <t>Foundation &amp; Basement</t>
  </si>
  <si>
    <t>A.C. RIDGE FOR SEMI CORRUGATED AC SHEET (PWD Lrit-57 p-39)</t>
  </si>
  <si>
    <t>S/F OF S.W. TEE 1000mmmDIA</t>
  </si>
  <si>
    <t>U ORJ BOLT ANDBITUMENWASHERS</t>
  </si>
  <si>
    <t>GI HOT</t>
  </si>
  <si>
    <t>MTS</t>
  </si>
  <si>
    <t>S/F OF 50mmDIA A.C PIPE</t>
  </si>
  <si>
    <t>M.S.WINDOW GRILLS / Special extruded sections for Steel Windows *p23/131</t>
  </si>
  <si>
    <t>Kg p 44/76</t>
  </si>
  <si>
    <t>S/F OF 50mmDIA A.C COWL</t>
  </si>
  <si>
    <t>CONVEY,ALAIGN,JIONT ETC UP TO40mmPVC PIPE (TWAD SR-18-19 it-11b )</t>
  </si>
  <si>
    <t>CONVEY,ALAIGN,JIONT ETC OVER TO40mmPVC PIPE (TWAD SR-18-19 it-11b )</t>
  </si>
  <si>
    <t>CUTTING CHARGE OF PVC pipe20mm,25mm / 32 mm dia ( p-32 )</t>
  </si>
  <si>
    <t>THREADING CHARGES FOR PVC 20mm/25mm</t>
  </si>
  <si>
    <t>16.2</t>
  </si>
  <si>
    <t>SUPPLYING &amp; FIXING OF TERRACOTTA</t>
  </si>
  <si>
    <t>COST OFPVC PIPE JOINTING MATERIALS UPTO 40mm</t>
  </si>
  <si>
    <t>JALLY(NOT BELOW 50MM THICK) OF BEST</t>
  </si>
  <si>
    <t>COST OFPVC PIPE JOINTING MATERIALS OVER 40mm</t>
  </si>
  <si>
    <t>QUALITY AND FIXING IN POSITION WITH</t>
  </si>
  <si>
    <t>MISCELLANCEOUS ITEMS</t>
  </si>
  <si>
    <t>Standardised concrete Mix M30 Grade Concrete</t>
  </si>
  <si>
    <t>C.I.DOUBLE YEE JUNCTION WITH DOOR  100mmDIA</t>
  </si>
  <si>
    <t>CEMENT PASTE AND REDOXIDE PUTTY INCLUDING</t>
  </si>
  <si>
    <t>S.F OF A.C.SPOUT PIPE OF50 mm DIA</t>
  </si>
  <si>
    <r>
      <t xml:space="preserve">20mm HBG Machine crushed stone jelly   </t>
    </r>
    <r>
      <rPr>
        <b/>
        <sz val="12"/>
        <rFont val="Helv"/>
      </rPr>
      <t xml:space="preserve"> (7730 Kg)</t>
    </r>
  </si>
  <si>
    <t>C.I.DOUBLE YEE JUNCTION WITH DOOR  75mmDIA</t>
  </si>
  <si>
    <t>COST OF ALL FLOOR(THE TERRA COTTA JALLY</t>
  </si>
  <si>
    <t xml:space="preserve"> 18" LONG</t>
  </si>
  <si>
    <r>
      <t xml:space="preserve">10-12mm HBG Machine crushed stone jelly   </t>
    </r>
    <r>
      <rPr>
        <b/>
        <sz val="12"/>
        <rFont val="Helv"/>
      </rPr>
      <t xml:space="preserve"> (5156 Kg)</t>
    </r>
  </si>
  <si>
    <t>THREADING CHARGES FOR PVC 32mm/63mm</t>
  </si>
  <si>
    <t>QUALITY AND DESIGN SHALL BE GOT APPROVED</t>
  </si>
  <si>
    <r>
      <t xml:space="preserve">Sand   </t>
    </r>
    <r>
      <rPr>
        <b/>
        <sz val="12"/>
        <rFont val="Helv"/>
      </rPr>
      <t xml:space="preserve"> (7670 Kg)</t>
    </r>
  </si>
  <si>
    <t>C.I.DOUBLE YEE JUNCTION WITHOUT DOOR  100mmDIA</t>
  </si>
  <si>
    <t>BY THE DEPARTMENTAL OFFICERS</t>
  </si>
  <si>
    <t>SPOUT PIPE OF 50mm DIA</t>
  </si>
  <si>
    <t>MT</t>
  </si>
  <si>
    <t>C.I.DOUBLE YEE JUNCTION WITHOUT DOOR  75mmDIA</t>
  </si>
  <si>
    <t>LABOUR FOR FIXING INCLUDING</t>
  </si>
  <si>
    <t>Plasticiser /Super plasticiser @ 1% of cement</t>
  </si>
  <si>
    <t>C.I.DOUBLE YEE JUNCTION WITHOUT DOOR  50mmDIA</t>
  </si>
  <si>
    <t>COST OF TERRACOTTA JALLY OF50mm</t>
  </si>
  <si>
    <t>CLAMP ETC</t>
  </si>
  <si>
    <t>Nos</t>
  </si>
  <si>
    <t>Mason II</t>
  </si>
  <si>
    <t>C.I. YEE JUNCTION WITH DOOR  100mmDIA</t>
  </si>
  <si>
    <t>LABOUR FOR FIXING JALLY</t>
  </si>
  <si>
    <t>Maz I</t>
  </si>
  <si>
    <t>C.I. YEE JUNCTION WITH DOOR  75mmDIA</t>
  </si>
  <si>
    <t>FOR PLASTERING &amp; REDOXIDE PUTTY</t>
  </si>
  <si>
    <t>TOTAL FOR  ONE NOS.</t>
  </si>
  <si>
    <t>Maz II</t>
  </si>
  <si>
    <t>C.I. YEE JUNCTION WITH  DOOR  50mmDIA</t>
  </si>
  <si>
    <t>Total for 10 cum</t>
  </si>
  <si>
    <t>C.I. YEE JUNCTION WITHOUT DOOR  100mmDIA</t>
  </si>
  <si>
    <t>for 1 cum</t>
  </si>
  <si>
    <t>C.I. YEE JUNCTION WITHOUT DOOR  75mmDIA</t>
  </si>
  <si>
    <t xml:space="preserve">           </t>
  </si>
  <si>
    <t>S.F OF A.C.SPOUT PIPE OF75 mm DIA</t>
  </si>
  <si>
    <t>Vibrating charges p-28 /103</t>
  </si>
  <si>
    <t>C.I. YEE JUNCTION WITH OUT DOOR  50mmDIA</t>
  </si>
  <si>
    <t>Sub Total</t>
  </si>
  <si>
    <t>C.I. TEE JUNCTION WITH DOOR  100mmDIA</t>
  </si>
  <si>
    <t>Add for water charges &amp; other sundries (0.5 % of sub total</t>
  </si>
  <si>
    <t>C.I. TEE JUNCTION WITH DOOR  75mmDIA</t>
  </si>
  <si>
    <t>SPOUT PIPE OF 75mm DIA</t>
  </si>
  <si>
    <t xml:space="preserve">For RCC Door Frame </t>
  </si>
  <si>
    <t>C.I. TEE JUNCTION WITH  DOOR  50mmDIA</t>
  </si>
  <si>
    <t>C.I. TEE JUNCTION WITHOUT DOOR  100mmDIA</t>
  </si>
  <si>
    <t>C.I. TEE JUNCTION WITHOUT DOOR  75mmDIA</t>
  </si>
  <si>
    <t>16.3</t>
  </si>
  <si>
    <t>JALLY(NOT BELOW 110MM THICK) OF BEST</t>
  </si>
  <si>
    <t>C.I.SLOTTED COWL  100mmDIA</t>
  </si>
  <si>
    <t>C.I.SLOTTED COWL  75mmDIA</t>
  </si>
  <si>
    <t>C.I.SLOTTED COWL  50mmDIA</t>
  </si>
  <si>
    <t>S.F OF A.C.SPOUT PIPE OF100mm DIA</t>
  </si>
  <si>
    <t>C.I. GRATING 100mmDIA it-71 p-44</t>
  </si>
  <si>
    <t>C.I. GRATING 75mmDIA</t>
  </si>
  <si>
    <t>BY THE DEPARTMENTAL OFFICERS)</t>
  </si>
  <si>
    <t>G.I PIPE "A"CLASS 80mmDIA / 20mm dia G.I. Pipe class B</t>
  </si>
  <si>
    <t>p50 118/vi</t>
  </si>
  <si>
    <t>SPOUT PIPE OF 100mm DIA</t>
  </si>
  <si>
    <t>G.I. 80MM DIA BEND</t>
  </si>
  <si>
    <t>COST OF TERRACOTTA JALLY OF 110mm</t>
  </si>
  <si>
    <t>G.I. 80MM DIA CUPPLER</t>
  </si>
  <si>
    <t>G.I. 80MM DIA UNION</t>
  </si>
  <si>
    <t>G.I. 80MM DIA PLUG</t>
  </si>
  <si>
    <t>G.I. 80MM DIA TEE</t>
  </si>
  <si>
    <t>Solid panel PVC door with frame (Rajeshree) p-49 it-122 A</t>
  </si>
  <si>
    <t>Standardised concrete Mix M20 Grade Concrete</t>
  </si>
  <si>
    <t>G.I. 80MM DIA HEX.NIPPLE</t>
  </si>
  <si>
    <t>G.I. 80MM X50mm REDUCER</t>
  </si>
  <si>
    <t>S.F OF G.I OUT LET PIPE OF 25mm DIA</t>
  </si>
  <si>
    <t>G.I. 80MM X65mm REDUCER</t>
  </si>
  <si>
    <t xml:space="preserve"> 30cm LONG</t>
  </si>
  <si>
    <t>G.I. 80MM X50mm REDUCER TEE</t>
  </si>
  <si>
    <t>G.I. 80MM X65mm REDUCER TEE</t>
  </si>
  <si>
    <t xml:space="preserve"> PIPE COST 25mm DIA</t>
  </si>
  <si>
    <t>Plasticiser /Super plasticiser @ .60% of cement (P57 item NO.198</t>
  </si>
  <si>
    <t>PLAIN GLASS</t>
  </si>
  <si>
    <t>P.V.C BEND</t>
  </si>
  <si>
    <t xml:space="preserve"> 15mm DIA</t>
  </si>
  <si>
    <t xml:space="preserve">PROVIDING FORM WORK AND CENTERING FOR </t>
  </si>
  <si>
    <t>PLAIN CONCRETE SURFACES FOR ALL R.C.C</t>
  </si>
  <si>
    <t>WORKS(beams &amp; lintels)</t>
  </si>
  <si>
    <t>COUNTRY WOOD ITEM</t>
  </si>
  <si>
    <t>=================</t>
  </si>
  <si>
    <t>P.V.C. COUPLER</t>
  </si>
  <si>
    <t>C.W BOARDING 40mm T.K</t>
  </si>
  <si>
    <t>a.</t>
  </si>
  <si>
    <t>DOOR OF SIZE 100X210Cm</t>
  </si>
  <si>
    <t>C.W JOIST(AVE.SIZE 100X6.5mm</t>
  </si>
  <si>
    <t>100mm DIA</t>
  </si>
  <si>
    <t>@90cm C/C)</t>
  </si>
  <si>
    <t>C.W.SCANTLING upto 4m long (Padak)</t>
  </si>
  <si>
    <t>P.V.C ELBOW</t>
  </si>
  <si>
    <t>CASURNA POST 10TO 13cmDIA</t>
  </si>
  <si>
    <t>MARINE PLYWOOD 12mm THICK</t>
  </si>
  <si>
    <t>AT75cm CENTERS</t>
  </si>
  <si>
    <t xml:space="preserve"> 6"X1/2" I.O.TOWER BOLT</t>
  </si>
  <si>
    <t>PLYWOOD FLUSH DOOR 30mm T.K FOR ALL SIZE</t>
  </si>
  <si>
    <t>TOTAL FOR   5 Operations for 10 sqm</t>
  </si>
  <si>
    <t xml:space="preserve"> 5" I.O.BUTT HINGS</t>
  </si>
  <si>
    <t>P.V.C.FLUSH D/F &amp; D/S 20mm T.K FOR 75X200cm</t>
  </si>
  <si>
    <t xml:space="preserve"> 10"X5/8" I.O ALDROP</t>
  </si>
  <si>
    <t>SINTEX WATER TANK OF 750 LIT it-165 p-54</t>
  </si>
  <si>
    <t>Litre</t>
  </si>
  <si>
    <t>COST  OF ONE OPERATION</t>
  </si>
  <si>
    <t>STEEL DOOR FRAMEOF SIZE 100X200</t>
  </si>
  <si>
    <t>CARPENTER I</t>
  </si>
  <si>
    <t>STEEL DOOR FRAMEOF SIZE 90X200</t>
  </si>
  <si>
    <t>STEEL DOOR FRAMEOF SIZE 75X200</t>
  </si>
  <si>
    <t>SUNDRIES FOR WEDGES,NAILS,COIR</t>
  </si>
  <si>
    <t>TOTAL FOR 1.815 SQM</t>
  </si>
  <si>
    <t>STEEL WINDOW FRAME&amp;SHUTTER WITHOUT GLASS</t>
  </si>
  <si>
    <t xml:space="preserve"> "   OF SIZE 132.5X120cm</t>
  </si>
  <si>
    <t xml:space="preserve"> "   OF SIZE 90X120cm</t>
  </si>
  <si>
    <t xml:space="preserve"> "   OF SIZE 47.5X120cm</t>
  </si>
  <si>
    <t>b.</t>
  </si>
  <si>
    <t>DOOR OF SIZE 90X200Cm</t>
  </si>
  <si>
    <t xml:space="preserve"> "   OF SIZE 90X105cm</t>
  </si>
  <si>
    <t xml:space="preserve"> "   OF SIZE 47.5X105cm</t>
  </si>
  <si>
    <t>C.W.SCANTLING(PLLLI,KARIMURUTH)</t>
  </si>
  <si>
    <t xml:space="preserve"> "   OF SIZE 90X90cm</t>
  </si>
  <si>
    <t>Centering for soffits for R.C.C.Slabs or</t>
  </si>
  <si>
    <t xml:space="preserve"> "   OF SIZE 47.5X90cm</t>
  </si>
  <si>
    <t>plane surfaces including shuttering up to 3m</t>
  </si>
  <si>
    <t>STEEL VENTILATTER FRAME&amp;SHUTTER WITHOUT GLASS</t>
  </si>
  <si>
    <t>height using M.S sheets of size 90mmx60mm and</t>
  </si>
  <si>
    <t xml:space="preserve"> "   OF SIZE 75X47.5cm</t>
  </si>
  <si>
    <t>HP 10G stiffened with welded M.S angle of</t>
  </si>
  <si>
    <t xml:space="preserve"> "   OF SIZE 90X47.5cm</t>
  </si>
  <si>
    <t>size 25x25x3mm laid over silver oak (C.W)</t>
  </si>
  <si>
    <t>joist 10cmx6.5cm spaced at75cm c/c complying</t>
  </si>
  <si>
    <t>P.V.C REDUCER ELBOW</t>
  </si>
  <si>
    <t>with standard specification</t>
  </si>
  <si>
    <t xml:space="preserve"> 50X25MM</t>
  </si>
  <si>
    <t>EACH</t>
  </si>
  <si>
    <t xml:space="preserve"> 50X40MM</t>
  </si>
  <si>
    <t>Kg.</t>
  </si>
  <si>
    <t>Cost of M.S sheet of size</t>
  </si>
  <si>
    <t>TOTAL FOR 1.6191 SQM</t>
  </si>
  <si>
    <t>PORCELINE WHITE GLASED SOAP DISH 200X100mm</t>
  </si>
  <si>
    <t>90x60cm of 10 gauge</t>
  </si>
  <si>
    <t>PORCEINE WASH BASIN OVAL SHAPE 480X400mm</t>
  </si>
  <si>
    <t>Cost of M.S angle of size</t>
  </si>
  <si>
    <t>END CAP SULATED P.V.C. MANHOLE STEP</t>
  </si>
  <si>
    <t xml:space="preserve"> 25x25x3mm</t>
  </si>
  <si>
    <t>P.V.C. DOUBLE TEE WITH DOOR 75mm DIA</t>
  </si>
  <si>
    <t>Add for cutting, bending,</t>
  </si>
  <si>
    <t>P.V.C. DOUBLE TEE WITH DOOR 100mm DIA</t>
  </si>
  <si>
    <t>welding charges etc.</t>
  </si>
  <si>
    <t>c.</t>
  </si>
  <si>
    <t>DOOR OF SIZE 75X200Cm</t>
  </si>
  <si>
    <t>P.V.C. DOUBLE TEE WITH OUT DOOR 75mm DIA</t>
  </si>
  <si>
    <t>Pipe</t>
  </si>
  <si>
    <t>P.V.C. DOUBLE TEE WITH OUT DOOR 100mm DIA</t>
  </si>
  <si>
    <t>POISHED CUDDAPAH SLAB 20mm/40 mm THICK WELL POISHED  p-20 it-104/105</t>
  </si>
  <si>
    <t>Cost of one operation</t>
  </si>
  <si>
    <t>CUDDAPAH SLAB SINK 60X45cm,20mmT.K p -55 it-171</t>
  </si>
  <si>
    <t>CUDDAPAH SLAB SINK 45X45cm,20mmT.K</t>
  </si>
  <si>
    <t>Adopting 40 uses for steel sheet and</t>
  </si>
  <si>
    <t>GRANITE SLAB 20mm THICK OF BEST QUALITY Synthetic Grey, p-42 /27c</t>
  </si>
  <si>
    <t>angles and 5 uses for C.W.joist and</t>
  </si>
  <si>
    <t xml:space="preserve"> 4" I.O.BUTT HINGS</t>
  </si>
  <si>
    <t>ELECTRICAL ARRANGEMENT:- BOARD APPROVED RATES</t>
  </si>
  <si>
    <t>casurina props</t>
  </si>
  <si>
    <t xml:space="preserve"> 6"X1/2" I.O ALDROP</t>
  </si>
  <si>
    <t>WRING WITH 1.5SQMM COPPER WIRE  CONCELLED</t>
  </si>
  <si>
    <t>TYPE FOR LIGHT POINT WITH CEILING ROSE</t>
  </si>
  <si>
    <t>POINT</t>
  </si>
  <si>
    <t>Cost of M.S Sheet and Angles</t>
  </si>
  <si>
    <t xml:space="preserve"> 1Use</t>
  </si>
  <si>
    <t>---DO---FOR LIGHT POINT WITH BATTERN HODER</t>
  </si>
  <si>
    <t>for one operation</t>
  </si>
  <si>
    <t xml:space="preserve"> ---DO---FOR FAN POINT </t>
  </si>
  <si>
    <t>Cost of silver oak scantling</t>
  </si>
  <si>
    <t>TOTAL FOR 1.3247 SQM</t>
  </si>
  <si>
    <t xml:space="preserve"> --DO--FOR 5AMP 5PIN PLUG AT SWITCH BOARD</t>
  </si>
  <si>
    <t>Rmt</t>
  </si>
  <si>
    <t>Casurnia props 10 to 13cm dia</t>
  </si>
  <si>
    <t xml:space="preserve"> --DO--FOR 5AMP 5PIN PLUG AT CONVENTENT PLACE</t>
  </si>
  <si>
    <t>Add for Silver oak planks</t>
  </si>
  <si>
    <t xml:space="preserve"> ---DO---FOR STAIR CASE LIGHT POINT </t>
  </si>
  <si>
    <t>No</t>
  </si>
  <si>
    <t>Carpenter Ist</t>
  </si>
  <si>
    <t>S/F OF BULKHEAD FITTING SUITABLE FOR 100/60W p114 i25</t>
  </si>
  <si>
    <t>549A</t>
  </si>
  <si>
    <t>CUDDAPAH SLAB SINK 60X60cm,20mmT.K p -55 it-172</t>
  </si>
  <si>
    <t>Fitter IInd</t>
  </si>
  <si>
    <t>FLUSH SHUTTER P.V.C. 30mm THICK</t>
  </si>
  <si>
    <t>RUN OF MAINS 2-1.5 SQMM COPPER CONCELLED TYPE</t>
  </si>
  <si>
    <t>Add for nails, wedges,oils etc</t>
  </si>
  <si>
    <t xml:space="preserve"> SOLIDCORE OF BLACKBOARD</t>
  </si>
  <si>
    <t xml:space="preserve">S/F OF 16 AMP DPIC MAIN SWITCH </t>
  </si>
  <si>
    <t>Add for periodical cleaning,</t>
  </si>
  <si>
    <t>TYPE WITH COMMERCIAL TYPE</t>
  </si>
  <si>
    <t>EARTHING STATION ASPER IS3043</t>
  </si>
  <si>
    <t>painting etc  for M.S. Sheet</t>
  </si>
  <si>
    <t>LIPPING BOTH SIDES</t>
  </si>
  <si>
    <t>S/L OF 8SWG G.I WIRE FOREARTH TO MAIN</t>
  </si>
  <si>
    <t>SUPPLY OF 5-10AMP/10-20AMP ELE. ENERGY METER</t>
  </si>
  <si>
    <t>S/F OF CONSUMER UNIT OF 4NO OF 16AMP WAY</t>
  </si>
  <si>
    <t>FOR ALL SIZE OF DOORS/SQM</t>
  </si>
  <si>
    <t>RUN OF MAINS 4-4 SQMM COPPER CONCELLED TYPE</t>
  </si>
  <si>
    <t>LABOUR FOR FIXING CEIING FAN OF AL SWEEP</t>
  </si>
  <si>
    <t xml:space="preserve">S/F OF S.C TW BOARD,3-30AMPFUSE, EARTHPLATE </t>
  </si>
  <si>
    <t>PROVIDING FORMWORK AND</t>
  </si>
  <si>
    <t>STEEL DOOR FRAMES AND WINDOW FRAMES WITH SHUTTER</t>
  </si>
  <si>
    <t xml:space="preserve">RUN OF S.C WIRING WITH 2-4 SQMM COPPER ,7/20 GI </t>
  </si>
  <si>
    <t>CENTERING FOR PLAIN CONCRETE</t>
  </si>
  <si>
    <t>====</t>
  </si>
  <si>
    <t>S/F OF AERI FUSE UNIT 30AMP 500V AT E.B POLE</t>
  </si>
  <si>
    <t>SURFACES FOR SMALL QTY such as sunshade etc</t>
  </si>
  <si>
    <t>ITEM NO 1:-MANUFACTURING AND</t>
  </si>
  <si>
    <t>S/F OF 40mmDIA B-CASS G.I PIPE</t>
  </si>
  <si>
    <t>SUPPLYING OF STEEL DOOR frame OF</t>
  </si>
  <si>
    <t>S/F OF 40mmDIA B-CASS G.I COUPLER</t>
  </si>
  <si>
    <t>MS angles &amp; sheets for one</t>
  </si>
  <si>
    <t>ALL SIZES WITH OUT SHUTTER</t>
  </si>
  <si>
    <t>S/F OF 40mmDIA B-CASS G.I BEND</t>
  </si>
  <si>
    <t>use (1.2 times of operation</t>
  </si>
  <si>
    <t>MADE OF 100X50 18GAUGE CRCA</t>
  </si>
  <si>
    <t>S/F OF 40X40X6mmANGLE TO SUPPORT G.I.PIPE.</t>
  </si>
  <si>
    <t>for plain surface)</t>
  </si>
  <si>
    <t>STELL WITH ALL FOURNITURE AND</t>
  </si>
  <si>
    <t>S/F OF 15AMP 3PIN POWER PLUG WITH SWITCH</t>
  </si>
  <si>
    <t>C.W Joist for one use (1.2</t>
  </si>
  <si>
    <t>FITTINGS.</t>
  </si>
  <si>
    <t>RUN OF MAINS 2-2.5 SQMM COPPER CONCELLED TYPE</t>
  </si>
  <si>
    <t>times of operation for plain</t>
  </si>
  <si>
    <t>S/F OF SINGE PHASE ELCB OF CONCEAED TYPE</t>
  </si>
  <si>
    <t>surface)</t>
  </si>
  <si>
    <t>MARINE PLYWOOD OF 9mm THICK OF BWR GRADE L.R ( qtn)</t>
  </si>
  <si>
    <t>Manufacturing and supplying of</t>
  </si>
  <si>
    <t>m.s.angle window shutter  and</t>
  </si>
  <si>
    <t>m.s grills with out glass of</t>
  </si>
  <si>
    <t>all sizes of windows,ventilaters.</t>
  </si>
  <si>
    <t xml:space="preserve"> ---DO---FOR CALLING BELL POINT </t>
  </si>
  <si>
    <t>ADD FOR SILVER OKE PLANKS</t>
  </si>
  <si>
    <t>Supply and fixing of window</t>
  </si>
  <si>
    <t>Add for periodical cleaning</t>
  </si>
  <si>
    <t>glass panels of 4mm thick for</t>
  </si>
  <si>
    <t>and painting etc for M.S. Sheet</t>
  </si>
  <si>
    <t>steel window and ventilaters.</t>
  </si>
  <si>
    <t xml:space="preserve"> --DO--FOR 15AMP OWER PLUG</t>
  </si>
  <si>
    <t>Cost of 4mm window glass</t>
  </si>
  <si>
    <t>S/F OF BULK HEAD FITTING</t>
  </si>
  <si>
    <t>S/F OF DOUBLE POLE MAIN SWITCH</t>
  </si>
  <si>
    <t>nos.</t>
  </si>
  <si>
    <t>Carpenter I class</t>
  </si>
  <si>
    <t>S/F OF 6 WAY D.B</t>
  </si>
  <si>
    <t>15mm dia half turn CP tap</t>
  </si>
  <si>
    <t>LABOUR CHARGE FOR FIXING FAN</t>
  </si>
  <si>
    <t>Cost of binding meterials etc.,</t>
  </si>
  <si>
    <t>SUPPLY AND DELIVERY OF FAN 48"SWEEP</t>
  </si>
  <si>
    <t>SUPPLY AND DELIVERY OF FAN 42"SWEEP</t>
  </si>
  <si>
    <t>total for 0.4sqm</t>
  </si>
  <si>
    <t>S/F OF 8SWG G.I WIRE</t>
  </si>
  <si>
    <t>SURFACES FOR PLINTH BEAM ETC.</t>
  </si>
  <si>
    <t>Design Mix M30 Grade Concrete (CER 255/2012-13)</t>
  </si>
  <si>
    <t>RUN OFF MAIN WITH 2NO OF 1.50sq.mm WIRE</t>
  </si>
  <si>
    <t>Rate for one sqm</t>
  </si>
  <si>
    <t>20mm HBG</t>
  </si>
  <si>
    <t>EARTHING STATION AS PER ISI</t>
  </si>
  <si>
    <t>HALF THE RATE  OF F.W USING C.W.PLANKS</t>
  </si>
  <si>
    <t>10mm HBG</t>
  </si>
  <si>
    <t>S/F OF 1 NO OF 30 AMP FUSE UNIT.</t>
  </si>
  <si>
    <t>FOR LINTEL &amp; BEAMS</t>
  </si>
  <si>
    <t>Manufactoring and supplying of</t>
  </si>
  <si>
    <t>S/F OF 375mmX300mmX20mmT.W.PLANK FOR S.C.</t>
  </si>
  <si>
    <t>R.C.C 1:1.5:3 USING 20mmHBG</t>
  </si>
  <si>
    <t xml:space="preserve">steel window, confirming to </t>
  </si>
  <si>
    <t>S/F OF METRE CUPBOARD</t>
  </si>
  <si>
    <t>IS 1038/1983.</t>
  </si>
  <si>
    <t>S/F OF STREET LIGHTS.</t>
  </si>
  <si>
    <r>
      <t xml:space="preserve">PROVIDING ANTI-TERMITE TREATMENT </t>
    </r>
    <r>
      <rPr>
        <b/>
        <sz val="12"/>
        <color indexed="13"/>
        <rFont val="Helv"/>
      </rPr>
      <t>Say 34</t>
    </r>
  </si>
  <si>
    <t>Window size 90x120cm</t>
  </si>
  <si>
    <t>PROVIDING ELCB WITH MCB IN MS BOX</t>
  </si>
  <si>
    <t xml:space="preserve"> 20mmH.B.JELLY</t>
  </si>
  <si>
    <t xml:space="preserve"> ---------------------</t>
  </si>
  <si>
    <t>Vibrating charges</t>
  </si>
  <si>
    <t>Flat back urinal WITH ALL ACCESSORIES (white)p-55 it-173</t>
  </si>
  <si>
    <t>Steel window with 10mm square</t>
  </si>
  <si>
    <t>Admixture</t>
  </si>
  <si>
    <t>WIRE MAN GR-I p-11 it-13</t>
  </si>
  <si>
    <t>horizontal with one coat of</t>
  </si>
  <si>
    <t>Batching plant</t>
  </si>
  <si>
    <t>Electrical HELPERp-15 it-100</t>
  </si>
  <si>
    <t>red oxide primer paint.</t>
  </si>
  <si>
    <t>Sundries</t>
  </si>
  <si>
    <t>Frosted glass  4mmthick it-106 p-44</t>
  </si>
  <si>
    <t>STACKING GHARGES HW DATA 16-17</t>
  </si>
  <si>
    <t>Iron hinge special type</t>
  </si>
  <si>
    <t>Stays and pegs</t>
  </si>
  <si>
    <t>CUTTING CHARGE OF PVC pipe32mm p-32 it-129</t>
  </si>
  <si>
    <t>Locking arrangements</t>
  </si>
  <si>
    <t>Design Mix M25 Grade Concrete (CER 255/2012-13)</t>
  </si>
  <si>
    <t>THREADING CHARGES FOR PVC 32mm</t>
  </si>
  <si>
    <t xml:space="preserve"> 12x12mm thick alu.beedings</t>
  </si>
  <si>
    <t xml:space="preserve">by pasting </t>
  </si>
  <si>
    <t>Labour Charges for fixing</t>
  </si>
  <si>
    <t>Alu. bolt and nuts</t>
  </si>
  <si>
    <t>Total for 1No</t>
  </si>
  <si>
    <t>Window size 90x105cm</t>
  </si>
  <si>
    <t>R.C.C DOOR FRAME</t>
  </si>
  <si>
    <t>Frosted glass 3mmthick</t>
  </si>
  <si>
    <t>21.1</t>
  </si>
  <si>
    <t>SUPPLYING AND FIXING MONOLITHIC RCC DOOR</t>
  </si>
  <si>
    <t>FRAME OF SIZEM 100MMX75MM WITH ONE EDGE</t>
  </si>
  <si>
    <t>GROOVE OF SIZE 30MMX20MM IN RCC(1:1.5:3)USING</t>
  </si>
  <si>
    <t>20MM HBS JELLY INCLUDING COST OF STEEL AND</t>
  </si>
  <si>
    <t>FABRICATION OF REINFORCEMENT WITH -6MM M.S</t>
  </si>
  <si>
    <t>ROD AROUND AND 3MM STEEL STIRRUP AT 30CM C/C</t>
  </si>
  <si>
    <t>INCLUDING FIXING OF 3NOS OF IRON BRACKET OF</t>
  </si>
  <si>
    <t>SIZE 100MMX100MMX5MM, 6NOS OF HOLDFAST</t>
  </si>
  <si>
    <t>CHECKNUTS AND ALUMINIUM SLEEVES AND 2 NOS OF</t>
  </si>
  <si>
    <t xml:space="preserve">RCC door </t>
  </si>
  <si>
    <t>I.O.TOWER BOLT RECEIVER ALL AS PER DRAWING</t>
  </si>
  <si>
    <t>1200MMX2100MM SIZE OF DOOR FRAME</t>
  </si>
  <si>
    <t>INCLUDING MOULDING INSTEEL MOULD PRECASTING</t>
  </si>
  <si>
    <t>WITH SMOOTH SURFACE AND FINE EDGES, CURING,</t>
  </si>
  <si>
    <t>R.C.C.IN C.C 1:1.5:3</t>
  </si>
  <si>
    <t>TRANSPORTING ETC., ALL COMPLETE, AS DIRECTED</t>
  </si>
  <si>
    <t>FAB OF M.S STEEL</t>
  </si>
  <si>
    <t>BY DEPT.OFFICERS.</t>
  </si>
  <si>
    <t>HANGER BRACKET</t>
  </si>
  <si>
    <t>ALU.SLEEVES</t>
  </si>
  <si>
    <t>TOWER BOLT RECEIVER</t>
  </si>
  <si>
    <t>1000MMX2100MM SIZE OF DOOR FRAME</t>
  </si>
  <si>
    <t>TAILNUT FOR BOLT</t>
  </si>
  <si>
    <t>1000MMX2400MM SIZE OF DOOR FRAME</t>
  </si>
  <si>
    <t>-------------------------------</t>
  </si>
  <si>
    <t>MASON Ist</t>
  </si>
  <si>
    <t>MAZDOOR Ist</t>
  </si>
  <si>
    <t>MOULDING CHARGES</t>
  </si>
  <si>
    <t>HANDLING CHARGES MAZDOOR-II</t>
  </si>
  <si>
    <t>ADD FOR OIL,CONVEYANCE ETC.,</t>
  </si>
  <si>
    <t>TOTAL FOR 1 NO</t>
  </si>
  <si>
    <t>Window size 60x120cm</t>
  </si>
  <si>
    <t>Frosted glass 4mmthick</t>
  </si>
  <si>
    <t>900MMX2100MM SIZE OF DOOR FRAME</t>
  </si>
  <si>
    <t>1500MMX2100MM SIZE OF DOOR FRAME</t>
  </si>
  <si>
    <r>
      <t xml:space="preserve">Satndardised cement Concrtet </t>
    </r>
    <r>
      <rPr>
        <b/>
        <sz val="12"/>
        <rFont val="Helv"/>
      </rPr>
      <t>M30 grade 1:1.5:3 without vibrating charges</t>
    </r>
  </si>
  <si>
    <t>21.2</t>
  </si>
  <si>
    <t>SUPPLING  AND FIXING OF BEST T.W.WROUGHT AND</t>
  </si>
  <si>
    <t>PUTUP FOR DOORS, WINDOWS AND VENTILATERS ETC</t>
  </si>
  <si>
    <t>LABOUR CHARGES:-</t>
  </si>
  <si>
    <t>700MMX2100MM SIZE OF DOOR FRAME</t>
  </si>
  <si>
    <t>1500MMX2400MM SIZE OF DOOR FRAME</t>
  </si>
  <si>
    <t>TOTAL FOR .0283 CUM</t>
  </si>
  <si>
    <t>TOTAL FOR ONE CUM</t>
  </si>
  <si>
    <t>S&amp;F P.V.C. 20mmTHICK DOOR SHUTTER WITH DOOR FRAME OF SIZE 40mmX57mm FOR OUTER FRAME AND THE SINGLE LEAF SHUTTER MADEOF PLASTIC SHEET 20mmX200mm FOR SHUTTER PANNEL AND SHUTTER FRAME OF PLASTIC 24mmX59mm WITH 8 NOS OF 3 HINGS ALU,2N0S OFAL. HANDLES</t>
  </si>
  <si>
    <t>FOR DOORS OF ALL SIZE</t>
  </si>
  <si>
    <t>…</t>
  </si>
  <si>
    <t>FOR DOORS OF ALL SIZE (Qtn. For syntex.) Hollow p48 117a</t>
  </si>
  <si>
    <t>TEAK WOODS</t>
  </si>
  <si>
    <t xml:space="preserve">========= </t>
  </si>
  <si>
    <t>TEAK WOOD WROUGHT &amp; PUT UP</t>
  </si>
  <si>
    <t>T.W.SCANTLING 2M-3M LONG</t>
  </si>
  <si>
    <t>LABOUR CHARGE FOR WROUGHT &amp; PUTUP</t>
  </si>
  <si>
    <t>RATE FOR T.W.SCANDLING 2M-3M LONG</t>
  </si>
  <si>
    <t>T.W.SCANTLING UP TO 2M LONG</t>
  </si>
  <si>
    <t>22.1 (a)</t>
  </si>
  <si>
    <t>COUNTRY WOOD SINGLY LEAF FULLY PANELLED</t>
  </si>
  <si>
    <t>DOOR SHUTTER FOR DOOR OF SIZE</t>
  </si>
  <si>
    <t>1000 X 2100MM</t>
  </si>
  <si>
    <t>RATE FOR T.W.SCANTLING 2M LONG</t>
  </si>
  <si>
    <t>SHUTTER SIZE-.9X2.025   =1.823M2</t>
  </si>
  <si>
    <t>STYLES(OVER 2M) -1X2X2.025X0.075X0.0375=0.0114</t>
  </si>
  <si>
    <t>T.W.SINGLY LEAF FULLY PANELLED</t>
  </si>
  <si>
    <t>RAILS(BELOW 2M)- 1X4X0.9X0.15X0.0375=      0.0203</t>
  </si>
  <si>
    <t xml:space="preserve">               - 1X2X0.70625X0.075X0.0375 =0.0040</t>
  </si>
  <si>
    <t>PLANKS      -1X4X0.58125X0.3375X0.01875=</t>
  </si>
  <si>
    <t xml:space="preserve">             -1X1X0.725X0.3375X0.01875=</t>
  </si>
  <si>
    <t xml:space="preserve">C.W SCANTLING UPTO 4M LONG </t>
  </si>
  <si>
    <t xml:space="preserve">C.W SCANTLING  UPTO 4M LONG </t>
  </si>
  <si>
    <t>C.W PLANKS 25mm thick, 30cm WIDE</t>
  </si>
  <si>
    <t>LABOUR FOR WROUGHT&amp;PUTUP</t>
  </si>
  <si>
    <t>DOOR HANDLE WITH CP SCREWS</t>
  </si>
  <si>
    <t xml:space="preserve">  5"BUTT HINGS</t>
  </si>
  <si>
    <t>T.W SCANTLING  ABOVE 2M LONG</t>
  </si>
  <si>
    <t xml:space="preserve"> 6"X1/2"TOWER BOLT</t>
  </si>
  <si>
    <t>T.W SCANTLING  BELOW 2M LONG</t>
  </si>
  <si>
    <t>10"X5/8"ALDROP</t>
  </si>
  <si>
    <t>T.W PLANKS OVER 15TO 30cm</t>
  </si>
  <si>
    <t>NYLONBUSH</t>
  </si>
  <si>
    <t>WIDE&amp;12TO15mm T.K</t>
  </si>
  <si>
    <t>DOOR HANDLE WITH CP SCREWS 6"</t>
  </si>
  <si>
    <t>TOTAL FOR 1.8230SQM</t>
  </si>
  <si>
    <t>Nos.</t>
  </si>
  <si>
    <t>Brass screw p-59 it-210</t>
  </si>
  <si>
    <t>No,</t>
  </si>
  <si>
    <t>22.1 (b)</t>
  </si>
  <si>
    <t>900 X 2100MM</t>
  </si>
  <si>
    <t>SHUTTER SIZE0-.8X2.05   =1.64M2</t>
  </si>
  <si>
    <t>STYLES(OVER 2M) -1X2X2.05X0.075X0.0375=0.0115</t>
  </si>
  <si>
    <t>RAILS(BELOW 2M)- 1X4X0.8X0.15X0.0375=      0.018</t>
  </si>
  <si>
    <t xml:space="preserve">               - 1X2X0.73125X0.075X0.0375 =0.0040</t>
  </si>
  <si>
    <t>PLANKS      -1X4X0.60625X0.2875X0.01875=</t>
  </si>
  <si>
    <t xml:space="preserve">             -1X1X0.625X0.2875X0.01875=</t>
  </si>
  <si>
    <t>BWR   single leaf</t>
  </si>
  <si>
    <t>(a)</t>
  </si>
  <si>
    <t>DOOR OF SIZE 750X2100 MM</t>
  </si>
  <si>
    <t xml:space="preserve"> 5" ALU BUTT HINGES</t>
  </si>
  <si>
    <t>ALU.HANDLE WITH C.P.SCREWS 6"</t>
  </si>
  <si>
    <t>Brass screw</t>
  </si>
  <si>
    <t>brass screws</t>
  </si>
  <si>
    <t>TOTAL FOR 1.6400SQM</t>
  </si>
  <si>
    <t>22.1 (c)</t>
  </si>
  <si>
    <t>700 X 2100MM</t>
  </si>
  <si>
    <t>SHUTTER SIZE0-.6X2.025   =1.215M2</t>
  </si>
  <si>
    <t>RAILS(BELOW 2M)- 1X2X0.6X0.15X0.0375=      0.0068</t>
  </si>
  <si>
    <t xml:space="preserve">               - 1X3X0.6X0.075X0.0375 =0.0051</t>
  </si>
  <si>
    <t>PLANKS      -1X5X0.425X0.295X0.01875=</t>
  </si>
  <si>
    <t>23.1.</t>
  </si>
  <si>
    <t>S/F OF BWR PLYWOOD DOOR</t>
  </si>
  <si>
    <t>SHUTTER WITH VERTICALS AND</t>
  </si>
  <si>
    <t>TOTAL FOR 1.215SQM</t>
  </si>
  <si>
    <t>TOP RAIL AND BOTTOM RAILS</t>
  </si>
  <si>
    <t>WITH 9mm THICK MARINE GRADE</t>
  </si>
  <si>
    <t>BWR  PLYWOOD WITH</t>
  </si>
  <si>
    <t>I.O FITTINGS AS PER SCHEDULE E</t>
  </si>
  <si>
    <t>Hollow type PVC door with frame</t>
  </si>
  <si>
    <t>STYLES(OVER 2M) -1X2X2.05X0.075X0.0375=0.01153</t>
  </si>
  <si>
    <t>RAILS(BELOW 2M)- 1X3X0.8X0.15X0.0375=      0.0135</t>
  </si>
  <si>
    <t>PLANKS      -1X1X0.625X0.64=0.40</t>
  </si>
  <si>
    <t>PLANKS      -1X1X0.985X0.625=0.616</t>
  </si>
  <si>
    <t>1.016M2</t>
  </si>
  <si>
    <r>
      <t>S/F OF</t>
    </r>
    <r>
      <rPr>
        <b/>
        <sz val="12"/>
        <rFont val="Helv"/>
      </rPr>
      <t xml:space="preserve"> BWR PLYWOOD DOOR</t>
    </r>
  </si>
  <si>
    <t>DOOR OF SIZE 900 X2100 MM</t>
  </si>
  <si>
    <t>C.W.SCANTLING UPTO 4M length (PADAK)</t>
  </si>
  <si>
    <r>
      <t xml:space="preserve">I.O FITTINGS AS PER SCHEDULE E </t>
    </r>
    <r>
      <rPr>
        <b/>
        <sz val="12"/>
        <rFont val="Helv"/>
      </rPr>
      <t>1200 x 2100mm size</t>
    </r>
  </si>
  <si>
    <t>SHUTTER SIZE0-1.1X2.05   =2.255M2</t>
  </si>
  <si>
    <t>STYLES(OVER 2M) -2X2X2.05X0.075X0.0375=0.02306</t>
  </si>
  <si>
    <t>RAILS(BELOW 2M)- 2X3X0.55X0.15X0.0375=      0.01856</t>
  </si>
  <si>
    <t>ALU.HANDLE WITH C.P.SCREWS</t>
  </si>
  <si>
    <t>PLANKS      -1X2X0.625X0.425=0.53</t>
  </si>
  <si>
    <t>PLANKS      -1X2X1.025X0.425=0.87</t>
  </si>
  <si>
    <t>1.40M2</t>
  </si>
  <si>
    <t>TOTAL FOR 1.64 SQM</t>
  </si>
  <si>
    <t>DOOR OF SIZE 1200 X2100 MM</t>
  </si>
  <si>
    <t>DOOR OF SIZE 1000 X2100 MM</t>
  </si>
  <si>
    <t>22.2(a)</t>
  </si>
  <si>
    <t>TW single leaf glazed window</t>
  </si>
  <si>
    <t xml:space="preserve">shutter  for frame of overall height 135cm </t>
  </si>
  <si>
    <t>TW scantling below 2m length</t>
  </si>
  <si>
    <t>frosted glass 4mmthick</t>
  </si>
  <si>
    <t>TOTAL FOR 2.255 SQM</t>
  </si>
  <si>
    <t xml:space="preserve"> 3" ALU BUTT HINGES</t>
  </si>
  <si>
    <t xml:space="preserve"> 2"X5/16" ALU. TOWERBOLT</t>
  </si>
  <si>
    <t>TOTAL FOR 1.845SQM</t>
  </si>
  <si>
    <t>NYLON BUSH with screws</t>
  </si>
  <si>
    <t>6" hooks and eyes</t>
  </si>
  <si>
    <t>TOTAL FOR .4766 SQM</t>
  </si>
  <si>
    <t>22.2(c)</t>
  </si>
  <si>
    <t xml:space="preserve">shutter  for frame of overall height 105cm </t>
  </si>
  <si>
    <t>1800 X 2100MM (Double leaves)</t>
  </si>
  <si>
    <t>WIDE&amp;12TO25mm T.K</t>
  </si>
  <si>
    <t>TOTAL FOR .362 SQM</t>
  </si>
  <si>
    <t>22.2(d)</t>
  </si>
  <si>
    <t>TW Swing type ventilater</t>
  </si>
  <si>
    <t>of size 90x 60cm</t>
  </si>
  <si>
    <t>pair</t>
  </si>
  <si>
    <t xml:space="preserve"> pivoted hinges with screw</t>
  </si>
  <si>
    <t>3" hooks and eyes</t>
  </si>
  <si>
    <t>8" hooks and eyes</t>
  </si>
  <si>
    <t>TW Panelled Door 1500 X 2100MM (Double leaves)</t>
  </si>
  <si>
    <t>TOTAL FOR .40 SQM</t>
  </si>
  <si>
    <t>T.W SCANTLING above 2m</t>
  </si>
  <si>
    <t>T.W SCANTLING below 2m</t>
  </si>
  <si>
    <t>T.W PLANKS (15.30 CM) (12 TO 25CM THICK)</t>
  </si>
  <si>
    <t>LABOUR CHARGES FOR WROUGHT AND PUT UP</t>
  </si>
  <si>
    <t>TW  double leaf shutter for ward robe / cup board</t>
  </si>
  <si>
    <t>NOS</t>
  </si>
  <si>
    <t>DOOR HANDLE 6"</t>
  </si>
  <si>
    <t>5" BUTT HINGES</t>
  </si>
  <si>
    <t>6" X .6" TOWER BOLTS</t>
  </si>
  <si>
    <t>SHUTTER SIZE 1.2X2.1   =2.52M2</t>
  </si>
  <si>
    <t>10" X 5/8" ALDROPS</t>
  </si>
  <si>
    <t>TW scantling(OVER 2M) -1X2X2.1X0.075X0.0375=0.0118</t>
  </si>
  <si>
    <t>TW scantling(below 2M) -1X2X1.2X0.075X0.0375=0.00675</t>
  </si>
  <si>
    <t>Shutter styles(vertical) -1X4X1.95X0.075X0.0375=0.02194</t>
  </si>
  <si>
    <t>Shutter styles(Horizantal) -2X2X0.4X0.075X0.0375=0.0045</t>
  </si>
  <si>
    <t>============</t>
  </si>
  <si>
    <t>0000000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t>
  </si>
  <si>
    <t>Shutter(OSL Board)      -1X2X1.825X0.4=1.46m2</t>
  </si>
  <si>
    <t>RATE FOR 2.835 SQM</t>
  </si>
  <si>
    <t>Shutter area      -1X1X1.05X1.95=2.05 m2</t>
  </si>
  <si>
    <t>LABOUR FOR WROUGHT &amp;PUTUP</t>
  </si>
  <si>
    <t>BISON PANEL  8MMTK. OSL</t>
  </si>
  <si>
    <t>LABOUR CHARGE FOR SHUTTER</t>
  </si>
  <si>
    <t xml:space="preserve"> 3"X5/8"ALU.TOWER BOLT</t>
  </si>
  <si>
    <t xml:space="preserve"> ORNAMENTAL; HANDLE WITH SCREWS(100mm)p46 it-98c </t>
  </si>
  <si>
    <t>LOCKS &amp;KEY Qtn</t>
  </si>
  <si>
    <t>VARNISH TWO COATS</t>
  </si>
  <si>
    <t>SUNDRIES FOR NAILS,PLUGS ETC.</t>
  </si>
  <si>
    <t>TOTAL FOR 2.52 SQM</t>
  </si>
  <si>
    <t>Cement Concrete using design mix of grade M25 concrete for all RCC works</t>
  </si>
  <si>
    <t>10mmH.B.JELLY</t>
  </si>
  <si>
    <t>BEST VARNISHING ONE COAT OVER WOOD WORK</t>
  </si>
  <si>
    <t>Lit.</t>
  </si>
  <si>
    <t>BEST VARNISH</t>
  </si>
  <si>
    <t>LINSEED OIL BOILED</t>
  </si>
  <si>
    <t>Mazdoor I</t>
  </si>
  <si>
    <t>Mazdoor II</t>
  </si>
  <si>
    <t>SUNDRIES FOR BRUSHES,ETC</t>
  </si>
  <si>
    <t>TOTAL FOR TEN SQM</t>
  </si>
  <si>
    <t>In Foundation and Basement</t>
  </si>
  <si>
    <t>BEST VARNISHING TWO COAT OVER WOOD WORK</t>
  </si>
  <si>
    <t>BEST VARNISH p38/31</t>
  </si>
  <si>
    <t>10th</t>
  </si>
  <si>
    <t>Supplying and fixing of Magnetic Door Catches</t>
  </si>
  <si>
    <t>23.2</t>
  </si>
  <si>
    <r>
      <t xml:space="preserve">Supplying and fixing </t>
    </r>
    <r>
      <rPr>
        <b/>
        <sz val="12"/>
        <rFont val="Helv"/>
      </rPr>
      <t>4mm thick pin</t>
    </r>
  </si>
  <si>
    <t>headed glass panels 450x1350</t>
  </si>
  <si>
    <t xml:space="preserve"> 4mm glass frosted </t>
  </si>
  <si>
    <t xml:space="preserve"> 12x12mm Alu.Beedings ( Qtn)</t>
  </si>
  <si>
    <t>Alu. bolts and nuts( Qtn)</t>
  </si>
  <si>
    <t>Labour for fixing glass paneles</t>
  </si>
  <si>
    <t xml:space="preserve"> (1.08SQM LABOUR =.25CARPENTER-II)</t>
  </si>
  <si>
    <t>Total for 0.5334 Sqm</t>
  </si>
  <si>
    <t>Rate for one Sqm.</t>
  </si>
  <si>
    <t>S &amp; F of Granite slab of size 4'x2', 18 to 20mm Thick For kitchen arrangements (jet black) for SP and ADSP</t>
  </si>
  <si>
    <t>S &amp; F of Granite tile of size 2'x 1', 10mm Thick For kitchen arrangements (jet black for SFO)</t>
  </si>
  <si>
    <t>STEEL GRILLS FOR WINDOWS &amp; VENTILATER</t>
  </si>
  <si>
    <t>Granite slab ( Jet Black) p-42 it-27a</t>
  </si>
  <si>
    <t>Granite slab ( Jet Black) p-38 it-13 a</t>
  </si>
  <si>
    <t>WITH SUITABLE LEDGES including piming coat</t>
  </si>
  <si>
    <t>RATE AS PER  PWD LR For Window  p 44/ it 76</t>
  </si>
  <si>
    <t>Mason IIst</t>
  </si>
  <si>
    <t>Steel grill for Verandah Enclousure PWD SR p23/ Item 168/131</t>
  </si>
  <si>
    <t>Supplying and fixing M.S.Hold Qtn</t>
  </si>
  <si>
    <t>fast with screws</t>
  </si>
  <si>
    <t>FINISHING THE TOP OF FLOORING</t>
  </si>
  <si>
    <t>WITH C.M(1:4)20mm THICK</t>
  </si>
  <si>
    <t>MAZDOOR  I</t>
  </si>
  <si>
    <t xml:space="preserve">Granite Tiles flooring in cm1:3,20mm thk </t>
  </si>
  <si>
    <t>Satheleri Grey</t>
  </si>
  <si>
    <t>Eurocon tile/ Designer tile flooring (as per CER-112/2007-08)</t>
  </si>
  <si>
    <t>COST OF granite FLOOR TILES, 
gray</t>
  </si>
  <si>
    <t>Old rate</t>
  </si>
  <si>
    <t>C.M(1:3)</t>
  </si>
  <si>
    <t>29.2</t>
  </si>
  <si>
    <t>MOSAIC FLOORING IN C.M(1:3)</t>
  </si>
  <si>
    <r>
      <t xml:space="preserve">COST OF Eurocon TILES </t>
    </r>
    <r>
      <rPr>
        <b/>
        <sz val="12"/>
        <rFont val="Helv"/>
      </rPr>
      <t>(pwd -p 41/17</t>
    </r>
  </si>
  <si>
    <t>LABOUR FOR LAYING &amp; POINTING</t>
  </si>
  <si>
    <t>USING GREY COLOUR TILES</t>
  </si>
  <si>
    <t>COST OF GRAY COLOUR  TILES</t>
  </si>
  <si>
    <t>25X25X2cm</t>
  </si>
  <si>
    <t>Grout</t>
  </si>
  <si>
    <t>white/colour cement</t>
  </si>
  <si>
    <t>POLISHING</t>
  </si>
  <si>
    <t>HIRE CHARGES FOR POWER POLISH</t>
  </si>
  <si>
    <t>Vertified tile flooring (Colour)</t>
  </si>
  <si>
    <t>SR 2018-2019</t>
  </si>
  <si>
    <t>ELCT.CHARGES</t>
  </si>
  <si>
    <t>COST OF POLISHING STONE</t>
  </si>
  <si>
    <t>MOSAIC POLISHER FOR POLISHING</t>
  </si>
  <si>
    <t>COST OF Vitified TILES (LSR New It-1) p-53 it-156</t>
  </si>
  <si>
    <t>Vertified  tile flooring  ( Ivory)</t>
  </si>
  <si>
    <t>MAZDOORII FOR WATER,WASHING ETC</t>
  </si>
  <si>
    <t>COST OF Vertified TILES (p51, it-156)</t>
  </si>
  <si>
    <t>S &amp; F of Granite tile of size 2'x1', 10mm Thick For kitchen arrangements (Ruby red)</t>
  </si>
  <si>
    <t>Grout joint filler</t>
  </si>
  <si>
    <t>COST OF granite FLOOR TILES, 
Ruby Red  p-42 26b</t>
  </si>
  <si>
    <t>Providing White/Color ceramic floor tiles (Anti-skid)of</t>
  </si>
  <si>
    <t>any size 0f 6mm T.K including pointing etc.,</t>
  </si>
  <si>
    <t>as directed by the Dept.Officers.</t>
  </si>
  <si>
    <t>COST OF CERAMIC FLOOR TILES</t>
  </si>
  <si>
    <t>Vertified tile flooring IVORY</t>
  </si>
  <si>
    <t>d448</t>
  </si>
  <si>
    <t>Grout ( qtn)</t>
  </si>
  <si>
    <r>
      <t xml:space="preserve">COST OF Vertified TILES  </t>
    </r>
    <r>
      <rPr>
        <b/>
        <sz val="16"/>
        <color indexed="13"/>
        <rFont val="Helv"/>
      </rPr>
      <t>qtn</t>
    </r>
  </si>
  <si>
    <t>710          ruby red</t>
  </si>
  <si>
    <t>Suppling and laying granite wall cladding</t>
  </si>
  <si>
    <t xml:space="preserve"> in C.M(1:2)  </t>
  </si>
  <si>
    <t>COST OF granite TILES</t>
  </si>
  <si>
    <t>C.M(1:2)</t>
  </si>
  <si>
    <t>Suppling and laying White/Plain colour</t>
  </si>
  <si>
    <t>Mazdoor-I</t>
  </si>
  <si>
    <t xml:space="preserve">Glazed tiles in C.M(1:2)  </t>
  </si>
  <si>
    <t>COST OF GLAZED  TILES</t>
  </si>
  <si>
    <t>TOTAL FOR 1.860 SQM</t>
  </si>
  <si>
    <r>
      <t xml:space="preserve">Suppling and laying </t>
    </r>
    <r>
      <rPr>
        <b/>
        <sz val="12"/>
        <rFont val="Helv"/>
      </rPr>
      <t>colour matt finish floor tiles</t>
    </r>
  </si>
  <si>
    <t>COST OF matt finish wall of 12x12
(Quotation rate)</t>
  </si>
  <si>
    <r>
      <t xml:space="preserve">Suppling and laying </t>
    </r>
    <r>
      <rPr>
        <b/>
        <sz val="12"/>
        <rFont val="Helv"/>
      </rPr>
      <t>colour matt finish wall tiles</t>
    </r>
  </si>
  <si>
    <t>COST OF  TILES (Quotation rate)</t>
  </si>
  <si>
    <r>
      <t xml:space="preserve">PAINTING TWO COATS OVER NEW           </t>
    </r>
    <r>
      <rPr>
        <b/>
        <sz val="12"/>
        <rFont val="Helv"/>
      </rPr>
      <t>(as per CER-112/2007-08)</t>
    </r>
  </si>
  <si>
    <r>
      <t xml:space="preserve">S &amp; F of </t>
    </r>
    <r>
      <rPr>
        <b/>
        <sz val="12"/>
        <rFont val="Helv"/>
      </rPr>
      <t>Granite slab 18mm to 12mm Thick</t>
    </r>
    <r>
      <rPr>
        <sz val="11"/>
        <color theme="1"/>
        <rFont val="Calibri"/>
        <family val="2"/>
        <charset val="1"/>
        <scheme val="minor"/>
      </rPr>
      <t xml:space="preserve"> For </t>
    </r>
    <r>
      <rPr>
        <b/>
        <sz val="12"/>
        <rFont val="Helv"/>
      </rPr>
      <t xml:space="preserve">kitchen arrangements </t>
    </r>
  </si>
  <si>
    <t xml:space="preserve">PLASTERED SURFACE WITH </t>
  </si>
  <si>
    <r>
      <t>WATER REPELLANT PAINT</t>
    </r>
    <r>
      <rPr>
        <sz val="11"/>
        <color theme="1"/>
        <rFont val="Calibri"/>
        <family val="2"/>
        <charset val="1"/>
        <scheme val="minor"/>
      </rPr>
      <t xml:space="preserve"> OVER ONE PRIMER COAT</t>
    </r>
  </si>
  <si>
    <r>
      <t xml:space="preserve">Granite slab </t>
    </r>
    <r>
      <rPr>
        <b/>
        <sz val="12"/>
        <rFont val="Helv"/>
      </rPr>
      <t>(Ruby red) P-38 it-14 b</t>
    </r>
  </si>
  <si>
    <t>WITH C.M(1:3)20mm THICK</t>
  </si>
  <si>
    <t xml:space="preserve"> (NO SAND)USING GRANITECHIPS</t>
  </si>
  <si>
    <t>COST OF PAINT</t>
  </si>
  <si>
    <r>
      <t xml:space="preserve">OF 10mm&amp;BELOW </t>
    </r>
    <r>
      <rPr>
        <b/>
        <sz val="12"/>
        <rFont val="Helv"/>
      </rPr>
      <t>(ELLISPATTERN)</t>
    </r>
  </si>
  <si>
    <t>LIT</t>
  </si>
  <si>
    <t>PRIMER (LMR item 112) p44</t>
  </si>
  <si>
    <t xml:space="preserve">PAINTER I </t>
  </si>
  <si>
    <t xml:space="preserve">STONE JELLY 3mm to 10mm </t>
  </si>
  <si>
    <t xml:space="preserve">PAINTER II </t>
  </si>
  <si>
    <t>Mazdoor IIst</t>
  </si>
  <si>
    <t>Pointing the joint</t>
  </si>
  <si>
    <t>Thorough scrapping p28 /108</t>
  </si>
  <si>
    <t>31.</t>
  </si>
  <si>
    <r>
      <t>WEATHERING COURSE</t>
    </r>
    <r>
      <rPr>
        <sz val="11"/>
        <color theme="1"/>
        <rFont val="Calibri"/>
        <family val="2"/>
        <charset val="1"/>
        <scheme val="minor"/>
      </rPr>
      <t xml:space="preserve"> WITH BRICK</t>
    </r>
  </si>
  <si>
    <t>40.</t>
  </si>
  <si>
    <r>
      <t xml:space="preserve">PAINTING TWO COATS OVER NEW            </t>
    </r>
    <r>
      <rPr>
        <b/>
        <sz val="12"/>
        <rFont val="Helv"/>
      </rPr>
      <t xml:space="preserve"> (as per CER-112/2007-08)</t>
    </r>
  </si>
  <si>
    <t>JELLY LIME IN RATIO 32:121/2</t>
  </si>
  <si>
    <r>
      <t xml:space="preserve">S &amp; F of </t>
    </r>
    <r>
      <rPr>
        <b/>
        <sz val="12"/>
        <rFont val="Helv"/>
      </rPr>
      <t>Granite slab 18mm to 20mm Thick</t>
    </r>
    <r>
      <rPr>
        <sz val="11"/>
        <color theme="1"/>
        <rFont val="Calibri"/>
        <family val="2"/>
        <charset val="1"/>
        <scheme val="minor"/>
      </rPr>
      <t xml:space="preserve"> For </t>
    </r>
    <r>
      <rPr>
        <b/>
        <sz val="12"/>
        <rFont val="Helv"/>
      </rPr>
      <t xml:space="preserve">kitchen arrangements </t>
    </r>
  </si>
  <si>
    <t>BY VOLUMN WELL WATERING</t>
  </si>
  <si>
    <t>Plastic Emulsion PAINT</t>
  </si>
  <si>
    <t>CONSOLIDATED WITH WOODEN</t>
  </si>
  <si>
    <r>
      <t xml:space="preserve">Granite slab </t>
    </r>
    <r>
      <rPr>
        <b/>
        <sz val="12"/>
        <rFont val="Helv"/>
      </rPr>
      <t>( Jet Black) P-38 it-14 a</t>
    </r>
  </si>
  <si>
    <t>BEATERS TO REQUIRED SLOP</t>
  </si>
  <si>
    <t>Plastic Emulsion PAINT  (LMR item 113) p-50 132( First qty</t>
  </si>
  <si>
    <t>Primer     (LMR item 112) p44</t>
  </si>
  <si>
    <t>BROKEN BRICKJELLY2OmmGAUGE</t>
  </si>
  <si>
    <t>COST OF LIME STONE</t>
  </si>
  <si>
    <t>Providing cooling tiles over terrace floor</t>
  </si>
  <si>
    <t>COST OF CERAMIC FLOOR TILES p-58 it-197 a</t>
  </si>
  <si>
    <t>6-10mm thick metal</t>
  </si>
  <si>
    <r>
      <t xml:space="preserve">Granite slab </t>
    </r>
    <r>
      <rPr>
        <b/>
        <sz val="12"/>
        <color indexed="10"/>
        <rFont val="Helv"/>
      </rPr>
      <t>(Ruby red) P-42 it-27b</t>
    </r>
  </si>
  <si>
    <t>POINTING WITH C.M.(1:3)FOR</t>
  </si>
  <si>
    <t>Pointing with CM 1:3</t>
  </si>
  <si>
    <t>PRESSED TILES</t>
  </si>
  <si>
    <t>CEMENT MORTER(1:3)</t>
  </si>
  <si>
    <t>ABC plus powder</t>
  </si>
  <si>
    <t>Colour cement p-36</t>
  </si>
  <si>
    <t>ABC Grout</t>
  </si>
  <si>
    <t>Base concrete 1:2:4 (6-10mm thick metal)</t>
  </si>
  <si>
    <t>FINISHING TOP OF ROOF WITH</t>
  </si>
  <si>
    <t>ONE  COURSE OF PRESSED TILES</t>
  </si>
  <si>
    <t>OVER A BED OF C.M(1:3),</t>
  </si>
  <si>
    <t>12mmTHICK MIXED WITH WATER PROOF COMPOUND</t>
  </si>
  <si>
    <t>Aluminium section</t>
  </si>
  <si>
    <t>AT 2% BY WEIGHT OF CEMENT</t>
  </si>
  <si>
    <t>Two legged scaffolding</t>
  </si>
  <si>
    <t>Aluminium window openable 1.35x1.05m  (Six leaves)</t>
  </si>
  <si>
    <t>PRESSED TILES 23X23X2cm P-15</t>
  </si>
  <si>
    <t>15cm dia casurina poles p -22 /145a.</t>
  </si>
  <si>
    <t>glass 4mm pin headed</t>
  </si>
  <si>
    <t>POINTING WITH C.M(1:3)</t>
  </si>
  <si>
    <t>Country wood planks p -22 137</t>
  </si>
  <si>
    <t>rubber beeding</t>
  </si>
  <si>
    <t>WPC</t>
  </si>
  <si>
    <t>hinges</t>
  </si>
  <si>
    <t>Total for 10 times</t>
  </si>
  <si>
    <t>handle</t>
  </si>
  <si>
    <t>For one operation</t>
  </si>
  <si>
    <t>hinges it-77 a p-40</t>
  </si>
  <si>
    <t>stay</t>
  </si>
  <si>
    <t>stiffner</t>
  </si>
  <si>
    <t>each</t>
  </si>
  <si>
    <t>holdfast</t>
  </si>
  <si>
    <t>labbour charges</t>
  </si>
  <si>
    <t>Coir, nails etc.</t>
  </si>
  <si>
    <t>sundries</t>
  </si>
  <si>
    <t>Total for 6 Rmt.</t>
  </si>
  <si>
    <t>Rate per each</t>
  </si>
  <si>
    <t>Total for1 Rmt.</t>
  </si>
  <si>
    <t>Aluminium window openable 1.05x1.35m  (Four leaves)</t>
  </si>
  <si>
    <t>Providing Granite slab flooring of</t>
  </si>
  <si>
    <t>Aluminium window openable 0.90x1.35m  (Four leaves)</t>
  </si>
  <si>
    <t>COST OF Granite  tile 20mm tk(Ruby red/raw silk) polished</t>
  </si>
  <si>
    <t>PRESSED TILES 23X23X18MM</t>
  </si>
  <si>
    <t>Aluminium window openable 0.50x1.35m (Two leaves)</t>
  </si>
  <si>
    <t>Aluminium window openable 1.80x1.35m (Eight leaves)</t>
  </si>
  <si>
    <t>33.</t>
  </si>
  <si>
    <t>PLASTERING C.M(1:5) 12mmTHICK</t>
  </si>
  <si>
    <t>Aluminium window openable 1.35x1.35m (Six leaves)</t>
  </si>
  <si>
    <t>Aluminium section (p-44/78a)</t>
  </si>
  <si>
    <t>rubber beeding P-45/81</t>
  </si>
  <si>
    <t>hinges 75mm x 30 mm P-45/94 b</t>
  </si>
  <si>
    <t>handle 150 mm long p-42 /80b</t>
  </si>
  <si>
    <t>stay 10"</t>
  </si>
  <si>
    <t>Aluminium window openable 0.90x0.60m (Two leaves)</t>
  </si>
  <si>
    <t>Aluminium window openable 1.80x2.20m (Eight leaves)</t>
  </si>
  <si>
    <t>34.</t>
  </si>
  <si>
    <t>PLASTERING C.M(1:4) 12mmTHICK</t>
  </si>
  <si>
    <t>Aluminium window openable 1.20x1.35m  (Four leaves)</t>
  </si>
  <si>
    <t>Aluminium section (p-40/61a)</t>
  </si>
  <si>
    <t>rubber beeding P-41/64</t>
  </si>
  <si>
    <t>hinges 75mm x 30 mm P-41/77 b</t>
  </si>
  <si>
    <t>35.</t>
  </si>
  <si>
    <t>PLASTERING C.M(1:3) 10mmTHICK</t>
  </si>
  <si>
    <t>Aluminium window openable 0.90x1.20m  (Four leaves)</t>
  </si>
  <si>
    <t>2014-15 RATE</t>
  </si>
  <si>
    <t>Aluminium window openable 0.45x1.35m (Two leaves)</t>
  </si>
  <si>
    <t>PLASTERING C.M(1:3)12mmTHICK</t>
  </si>
  <si>
    <t>MIXEDWITH WATER PROOF COMPOUND</t>
  </si>
  <si>
    <t xml:space="preserve">  2Kg/10 SQM</t>
  </si>
  <si>
    <t>Alum Vent 0.90x0.45m</t>
  </si>
  <si>
    <t>Data based on Police Acadamy</t>
  </si>
  <si>
    <t>Aluminium luvered Ventilator 0.60x0.60m</t>
  </si>
  <si>
    <t>WATER PROOF COMPOUNDS</t>
  </si>
  <si>
    <t>Rate / Sqm</t>
  </si>
  <si>
    <t>Aluminium window openable 1.80x1.65m (Eight leaves)</t>
  </si>
  <si>
    <t>Aluminium luvered Ventilator 0.75x0.60m</t>
  </si>
  <si>
    <t>36.</t>
  </si>
  <si>
    <t>Providing Band with C.M 1:5, 12mm thick</t>
  </si>
  <si>
    <t>and 75mmwide in all floors including</t>
  </si>
  <si>
    <t>Aluminium window openable 0.75x1.35m (Two leaves)</t>
  </si>
  <si>
    <t>finishing with neat cement scaffolding</t>
  </si>
  <si>
    <t>curing etc complete.</t>
  </si>
  <si>
    <t>Aluminium window openable 1.20x1.05m (Four leaves)</t>
  </si>
  <si>
    <t xml:space="preserve"> 150mm Thick Band</t>
  </si>
  <si>
    <t>Cement mortar1:5</t>
  </si>
  <si>
    <t>Masn Ist</t>
  </si>
  <si>
    <t>Aluminium window Fixed 0.90x2.10m</t>
  </si>
  <si>
    <t>Total for 6.77Rmt</t>
  </si>
  <si>
    <t>Rate per Rmt.</t>
  </si>
  <si>
    <t xml:space="preserve"> 75mm Thick Band</t>
  </si>
  <si>
    <t>Aluminium Ventilator 1.285x0.60m</t>
  </si>
  <si>
    <t>Aluminium Ventilator 0.90x0.60m</t>
  </si>
  <si>
    <t>50mm Thick Band</t>
  </si>
  <si>
    <t>Aluminium Ventilator 1.35x0.60m</t>
  </si>
  <si>
    <t>WHITE WASHING THREE COAT</t>
  </si>
  <si>
    <t>Aluminium window openable 1.50x1.35m  (Six leaves)</t>
  </si>
  <si>
    <t>SUNDRIES FOR BRUSH,BLUE,GUM ETC</t>
  </si>
  <si>
    <t>38.1.</t>
  </si>
  <si>
    <t>CEMENT PAINTING TWO COATS</t>
  </si>
  <si>
    <t>OVER THE PRIMER COAT OF</t>
  </si>
  <si>
    <t>APPROVED CEMENT PAINT FOR NEW</t>
  </si>
  <si>
    <t>PLASTERED SURFACES</t>
  </si>
  <si>
    <t>CEMENT PAINT</t>
  </si>
  <si>
    <t>PAINTER I</t>
  </si>
  <si>
    <t>38.2</t>
  </si>
  <si>
    <t>Matt paint Two coats</t>
  </si>
  <si>
    <t>SUPERCEM PAINTING TWO COATS</t>
  </si>
  <si>
    <t>Lts</t>
  </si>
  <si>
    <t>Matt paint</t>
  </si>
  <si>
    <t>Painter Ist</t>
  </si>
  <si>
    <t>Mazdoor IInd</t>
  </si>
  <si>
    <t>SUPERCEM</t>
  </si>
  <si>
    <t>Total for 10 Sqm</t>
  </si>
  <si>
    <t>PAINTING TWO COATS OVER new</t>
  </si>
  <si>
    <t>WOOD WORKS WITH IIND CLASS</t>
  </si>
  <si>
    <t>SYNTHETIC ENAMEL PAINT INCL.PRIMER COAT.</t>
  </si>
  <si>
    <t>Aluminium window openable 1.80 x 1.65 m =2.97m2</t>
  </si>
  <si>
    <t>READY MIXED PRIMER PAINT</t>
  </si>
  <si>
    <t>FRENCH WINDOW Reference Data Nagapattinam Ar Ph-XIX  CER 224-2012-2013</t>
  </si>
  <si>
    <t>READY MIXED IIND CLASS PAINT</t>
  </si>
  <si>
    <t>Clip Beading</t>
  </si>
  <si>
    <t>Glass 4mm pin headed</t>
  </si>
  <si>
    <t>Rubber beeding</t>
  </si>
  <si>
    <t>sets</t>
  </si>
  <si>
    <t>Max hinges (10")</t>
  </si>
  <si>
    <t>Handle</t>
  </si>
  <si>
    <t>Holdfast</t>
  </si>
  <si>
    <t>Labbour charges</t>
  </si>
  <si>
    <t>PAINTING TWO COATS OVER NEW</t>
  </si>
  <si>
    <t>RATE  FOR   EACH</t>
  </si>
  <si>
    <t>IRON WORKS WITH IIND CLASS</t>
  </si>
  <si>
    <t>SYNTHETIC ENAMEL PAINT</t>
  </si>
  <si>
    <r>
      <t xml:space="preserve">FITTER  </t>
    </r>
    <r>
      <rPr>
        <b/>
        <sz val="13"/>
        <rFont val="Arial"/>
        <family val="2"/>
      </rPr>
      <t>Ist CLASS</t>
    </r>
  </si>
  <si>
    <r>
      <t xml:space="preserve">MAZDOOR  </t>
    </r>
    <r>
      <rPr>
        <b/>
        <sz val="13"/>
        <rFont val="Arial"/>
        <family val="2"/>
      </rPr>
      <t>Ist CLASS</t>
    </r>
  </si>
  <si>
    <r>
      <t>CARPENTER</t>
    </r>
    <r>
      <rPr>
        <b/>
        <sz val="13"/>
        <rFont val="Arial"/>
        <family val="2"/>
      </rPr>
      <t xml:space="preserve"> II CLASS</t>
    </r>
  </si>
  <si>
    <t xml:space="preserve"> LABOUR RATE </t>
  </si>
  <si>
    <t>ANTI-CORROSIVE TREATMENT FOR STEEL</t>
  </si>
  <si>
    <t>FABRICATION  (RCC WORKS)</t>
  </si>
  <si>
    <r>
      <t xml:space="preserve">ANTI-CORROSIVE(COROLOK-CP </t>
    </r>
    <r>
      <rPr>
        <sz val="12"/>
        <color indexed="13"/>
        <rFont val="Helv"/>
      </rPr>
      <t>( qtn)</t>
    </r>
  </si>
  <si>
    <t>/PROTEKLOL) CHEMICALS</t>
  </si>
  <si>
    <t>BRUSHES GLOVES ETC</t>
  </si>
  <si>
    <t>TRANSPORTING AND HANDLING</t>
  </si>
  <si>
    <t>PAINTERII</t>
  </si>
  <si>
    <t>SUNDRIES FOR BRUSHES,CLOTH ETC</t>
  </si>
  <si>
    <t>TOTTAL FOR 1 MT</t>
  </si>
  <si>
    <t>42.</t>
  </si>
  <si>
    <t>SUPPLYING AND FABRICATING AND</t>
  </si>
  <si>
    <t>PLACING  M.S RODS/RTS ROD (upto 16mm dia)</t>
  </si>
  <si>
    <t>QUTL</t>
  </si>
  <si>
    <t>R.T.S RODS/M.S.RODS UPTO 16MM DIA</t>
  </si>
  <si>
    <t>BINDING WIRE</t>
  </si>
  <si>
    <t>FITTER I</t>
  </si>
  <si>
    <t>Cement for slurry</t>
  </si>
  <si>
    <t>Painter-II</t>
  </si>
  <si>
    <t>TOTTAL FOR 1 QTL</t>
  </si>
  <si>
    <t>RATE PER M.T</t>
  </si>
  <si>
    <t>b. above 16mm dia</t>
  </si>
  <si>
    <t>R.T.S RODS/M.S.RODS ABOVE 16MM DIA</t>
  </si>
  <si>
    <t>43.</t>
  </si>
  <si>
    <t>COASTAL AREA</t>
  </si>
  <si>
    <t>PLACING R.T.S RODS/MS RODS upto 16mm dia(without cement  slurry)</t>
  </si>
  <si>
    <t>BINDING WIRE insulated with PVC as per circular</t>
  </si>
  <si>
    <t>PLACING R.T.S RODS/MS RODS above 16mm dia(without cement  slurry)</t>
  </si>
  <si>
    <t>SUPPLY AND FIXING OF</t>
  </si>
  <si>
    <t>110mmDIA P.V.C RAIN WATER</t>
  </si>
  <si>
    <r>
      <t>DOWN FALL PIPE    T</t>
    </r>
    <r>
      <rPr>
        <b/>
        <sz val="12"/>
        <rFont val="Helv"/>
      </rPr>
      <t>ype- A  SWR pipe</t>
    </r>
  </si>
  <si>
    <t xml:space="preserve"> 110mmDIA P.V.C PIPE</t>
  </si>
  <si>
    <t xml:space="preserve"> 110mmDIA P.V.C PLAIN BEND</t>
  </si>
  <si>
    <t xml:space="preserve"> 110mmDIA P.V.C SHOE</t>
  </si>
  <si>
    <t>SPECIAL CLAMP</t>
  </si>
  <si>
    <t>C.I. GRATING 100mm DIA</t>
  </si>
  <si>
    <t>PLUMBER I</t>
  </si>
  <si>
    <t>UPVC SPECIAL CLAMP as per qtn</t>
  </si>
  <si>
    <t>COST OF PLUG SCREWS , RUBBER</t>
  </si>
  <si>
    <t>LUBRICANT ETC</t>
  </si>
  <si>
    <t>TOTAL FOR 3 RMT</t>
  </si>
  <si>
    <t>45.</t>
  </si>
  <si>
    <t>STUCCO PLASTERING 12mm tk.</t>
  </si>
  <si>
    <t>CHIPSUSING 86.5KgCEMENT AND</t>
  </si>
  <si>
    <t>.15CUM FOR 10  SQM</t>
  </si>
  <si>
    <t>BLUE METEL 3-10mm HBG</t>
  </si>
  <si>
    <t>46.</t>
  </si>
  <si>
    <t>SUPPLYING AND FIXING OF 20MM</t>
  </si>
  <si>
    <t>DIA  ALUMINIUM HANGER ROD TO</t>
  </si>
  <si>
    <t>THE  REQUIRED LENGTH WITH</t>
  </si>
  <si>
    <t>ALUMINUM END BRACKETS INCLUDING</t>
  </si>
  <si>
    <t>COST OF SCREWS TW PLUGS AND</t>
  </si>
  <si>
    <t>LABOUR CHARGES FOR FIXING IN</t>
  </si>
  <si>
    <t>POSTION COMPLETE IN ALL RESPECT</t>
  </si>
  <si>
    <t>AND AS DIRECTED BY THE DEPT,</t>
  </si>
  <si>
    <t>OFFICERS</t>
  </si>
  <si>
    <t xml:space="preserve"> 2omm alu. hanger rod </t>
  </si>
  <si>
    <t>Set</t>
  </si>
  <si>
    <t>Alu.Bracket with screws</t>
  </si>
  <si>
    <t>Sundries FOR PLUGS ,NAILS AND LABOUR ETC.,</t>
  </si>
  <si>
    <t>Total for 1 Rmt</t>
  </si>
  <si>
    <t>47.</t>
  </si>
  <si>
    <r>
      <t xml:space="preserve">SUPPLY AND FIXING ALUMINUM </t>
    </r>
    <r>
      <rPr>
        <b/>
        <sz val="12"/>
        <rFont val="Helv"/>
      </rPr>
      <t xml:space="preserve">TOWEL RAIL </t>
    </r>
    <r>
      <rPr>
        <sz val="11"/>
        <color theme="1"/>
        <rFont val="Calibri"/>
        <family val="2"/>
        <charset val="1"/>
        <scheme val="minor"/>
      </rPr>
      <t>OF</t>
    </r>
  </si>
  <si>
    <t>70CM LONG INCLUDING COST OF SCREW TW</t>
  </si>
  <si>
    <t>PLUGS AND LABOURS CHARGES FOR FIXING IN</t>
  </si>
  <si>
    <t>POSITION ETC COMPLETE IN ALL RESPECT AND</t>
  </si>
  <si>
    <t>AS DIRECTED BY THE DEPT OFFICERS.</t>
  </si>
  <si>
    <t>no</t>
  </si>
  <si>
    <t>Alu.Towel rail 75Cm long</t>
  </si>
  <si>
    <t>Alu. Bolt With screws</t>
  </si>
  <si>
    <t>Labour for fixing and cost of</t>
  </si>
  <si>
    <t>T.W.Pluges</t>
  </si>
  <si>
    <t>48.</t>
  </si>
  <si>
    <r>
      <t xml:space="preserve">SUPPLING AND FIXING </t>
    </r>
    <r>
      <rPr>
        <b/>
        <sz val="12"/>
        <rFont val="Helv"/>
      </rPr>
      <t>COAT STAND</t>
    </r>
  </si>
  <si>
    <t>WITH FIVE PINS</t>
  </si>
  <si>
    <t>Cost of Coat stand</t>
  </si>
  <si>
    <t xml:space="preserve">Labour for fixing </t>
  </si>
  <si>
    <t>Total for 1 No.</t>
  </si>
  <si>
    <t>49.</t>
  </si>
  <si>
    <r>
      <t xml:space="preserve">SUPPLING AND FIXING OF </t>
    </r>
    <r>
      <rPr>
        <b/>
        <sz val="12"/>
        <rFont val="Helv"/>
      </rPr>
      <t>PICTURE HOOKS</t>
    </r>
  </si>
  <si>
    <t>Cost of Picture hooks</t>
  </si>
  <si>
    <t>Supplying and fixing of Precast slab</t>
  </si>
  <si>
    <t>50mm thick made in C.C 1:3:6 using 20mm</t>
  </si>
  <si>
    <t>Hbs jelly ,moulding the slab, laying,</t>
  </si>
  <si>
    <t>curing,transporting and placing in</t>
  </si>
  <si>
    <t>possition etc complete</t>
  </si>
  <si>
    <t xml:space="preserve"> 20mm HBS Jelly</t>
  </si>
  <si>
    <t>C.M. 1:3</t>
  </si>
  <si>
    <t>Mason IInd</t>
  </si>
  <si>
    <t>Total for 10  cum</t>
  </si>
  <si>
    <t>Rate per  cum</t>
  </si>
  <si>
    <t>PRECAST Plain cement concrete P.C.C</t>
  </si>
  <si>
    <r>
      <t xml:space="preserve">Slabs of 50mm thick </t>
    </r>
    <r>
      <rPr>
        <b/>
        <sz val="12"/>
        <rFont val="Helv"/>
      </rPr>
      <t>(precast slab 50mm Thick)</t>
    </r>
  </si>
  <si>
    <t>C.C. 1:3:6 using 20mm HBS</t>
  </si>
  <si>
    <t>Precasting Charges ( 6.28*120sqm=753.6/18=41.87each)</t>
  </si>
  <si>
    <t>Transporting</t>
  </si>
  <si>
    <t>Laying and Pointing</t>
  </si>
  <si>
    <t>Total for 6.28 Sqm</t>
  </si>
  <si>
    <t>Rate per Sqm</t>
  </si>
  <si>
    <t>PCC 1:3:6, for petty works</t>
  </si>
  <si>
    <t>moulding charges</t>
  </si>
  <si>
    <t>Total for .01 cum</t>
  </si>
  <si>
    <t>Rate per cum</t>
  </si>
  <si>
    <t>50.2</t>
  </si>
  <si>
    <r>
      <t>KERB STONE</t>
    </r>
    <r>
      <rPr>
        <sz val="11"/>
        <color theme="1"/>
        <rFont val="Calibri"/>
        <family val="2"/>
        <charset val="1"/>
        <scheme val="minor"/>
      </rPr>
      <t xml:space="preserve"> 450x300x150mm</t>
    </r>
  </si>
  <si>
    <t xml:space="preserve"> 'including Transporting charges</t>
  </si>
  <si>
    <t>Total for 9 m</t>
  </si>
  <si>
    <t>Rate per M</t>
  </si>
  <si>
    <t>50.3</t>
  </si>
  <si>
    <t>PLANTING AVENUE TREES</t>
  </si>
  <si>
    <t>Earth work excavation</t>
  </si>
  <si>
    <t>Manure</t>
  </si>
  <si>
    <t>RED EARTH</t>
  </si>
  <si>
    <t>River sand</t>
  </si>
  <si>
    <t>mixing charges</t>
  </si>
  <si>
    <t>nos</t>
  </si>
  <si>
    <t>Avenue trees</t>
  </si>
  <si>
    <t>RM</t>
  </si>
  <si>
    <t>Casurina props 5 to 8cm dia p22 / It- 148 d</t>
  </si>
  <si>
    <t>filling chares</t>
  </si>
  <si>
    <t>l.s</t>
  </si>
  <si>
    <t>Maintenance charges</t>
  </si>
  <si>
    <t>Total for 20 no.</t>
  </si>
  <si>
    <t>Total for 1 no.</t>
  </si>
  <si>
    <t>50.4</t>
  </si>
  <si>
    <t xml:space="preserve"> AVENUE TREE GUARD</t>
  </si>
  <si>
    <t>CW reepers 50x25 cm it-139 p-22</t>
  </si>
  <si>
    <t>Casurina props 5 to 8cm dia</t>
  </si>
  <si>
    <t>Chicken mesh</t>
  </si>
  <si>
    <t>Carpenter II</t>
  </si>
  <si>
    <t>Fitter I</t>
  </si>
  <si>
    <t xml:space="preserve">sundries </t>
  </si>
  <si>
    <t>50.5</t>
  </si>
  <si>
    <t>PROVIDING SCHME NAME BOARD</t>
  </si>
  <si>
    <t>CC 1:5:10</t>
  </si>
  <si>
    <t>KG</t>
  </si>
  <si>
    <t>MS angle</t>
  </si>
  <si>
    <t>MS Stiffner</t>
  </si>
  <si>
    <t>MS Sheet</t>
  </si>
  <si>
    <t>Welding charges</t>
  </si>
  <si>
    <r>
      <t xml:space="preserve">Painting / lettering charges </t>
    </r>
    <r>
      <rPr>
        <sz val="12"/>
        <color indexed="13"/>
        <rFont val="Helv"/>
      </rPr>
      <t>qtn</t>
    </r>
  </si>
  <si>
    <t>Labour for erection of board</t>
  </si>
  <si>
    <t>Bolts &amp;nuts</t>
  </si>
  <si>
    <t>PROVIDING ANTI-TERMITE TREATMENT</t>
  </si>
  <si>
    <t>51.</t>
  </si>
  <si>
    <t>PVC WATER TANK OF 700 LITRE CAPACITY p64 /207</t>
  </si>
  <si>
    <t>Ex. free board with ISI mark</t>
  </si>
  <si>
    <t>PVC WATER TANK OF 200 LITRE CAPACITY</t>
  </si>
  <si>
    <t>JOINTING P.V.C PIPE AND SPECIALS</t>
  </si>
  <si>
    <t>c</t>
  </si>
  <si>
    <t xml:space="preserve"> 20mm Dia</t>
  </si>
  <si>
    <t>MASAN I</t>
  </si>
  <si>
    <t xml:space="preserve">COST OF CLAMPS PLUGS </t>
  </si>
  <si>
    <t>JOINTING MATERIALS ETC</t>
  </si>
  <si>
    <t xml:space="preserve"> 25mm</t>
  </si>
  <si>
    <t>32mm</t>
  </si>
  <si>
    <t>40mm</t>
  </si>
  <si>
    <t>SUPPLYING AND LAYING THE FOLLOWING PVC</t>
  </si>
  <si>
    <t>PIPES WITH NECESSARY SPECIALS ELBOWS,</t>
  </si>
  <si>
    <t>CUTTING CHARGES p -31 Itm 131</t>
  </si>
  <si>
    <t>TEE,REDUCE ,PLUG,UNION,BEND,COUPLE,</t>
  </si>
  <si>
    <t>THREADING CHARGES p -31 Itm 132</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</si>
  <si>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</si>
  <si>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</si>
  <si>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</si>
  <si>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</si>
  <si>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</si>
  <si>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</si>
  <si>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</si>
  <si>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 xml:space="preserve"> 20MM DIA PVC PIPE ABOVE G.L:-</t>
  </si>
  <si>
    <t xml:space="preserve">COST OF 20MM DIA PVC PIPE </t>
  </si>
  <si>
    <t>ADD 70% FOR PVC/GI SPECIALS</t>
  </si>
  <si>
    <t>LABOUR FOR LAYING &amp; FIXING</t>
  </si>
  <si>
    <t>TOTAL FOR 1 RMT</t>
  </si>
  <si>
    <t xml:space="preserve"> 40MM DIA PVC PIPE ABOVE G.L:-</t>
  </si>
  <si>
    <t xml:space="preserve"> 25MM DIA PVC PIPE ABOVE G.L:-</t>
  </si>
  <si>
    <t xml:space="preserve">COST OF40MM DIA PVC PIPE </t>
  </si>
  <si>
    <t xml:space="preserve">COST OF 25MM DIA PVC PIPE </t>
  </si>
  <si>
    <t>ADD 20% FOR PVC/GI SPECIALS</t>
  </si>
  <si>
    <t>ADD 40% FOR PVC/GI SPECIALS</t>
  </si>
  <si>
    <t xml:space="preserve"> 32MM DIA PVC PIPE ABOVE G.L:-</t>
  </si>
  <si>
    <t>50mm</t>
  </si>
  <si>
    <t xml:space="preserve">COST OF 32MM DIA PVC PIPE </t>
  </si>
  <si>
    <t>CUTTING CHARGES p -32 Itm 133</t>
  </si>
  <si>
    <t>THREADING CHARGES p- 32 Itm 134</t>
  </si>
  <si>
    <t xml:space="preserve"> 50MM DIA PVC PIPE ABOVE G.L:-</t>
  </si>
  <si>
    <t xml:space="preserve">COST OF 50MM DIA PVC PIPE </t>
  </si>
  <si>
    <t>S &amp; F of GI Pipe 20mm dia for Hot Water line Pipe
Fully Consealed in Wall</t>
  </si>
  <si>
    <t xml:space="preserve">GI PIPE 20MM DIA </t>
  </si>
  <si>
    <t>LAYING,FIXING AND CONSELING GI PIPE</t>
  </si>
  <si>
    <t xml:space="preserve">COST OF50MM DIA PVC PIPE </t>
  </si>
  <si>
    <t>20MM DIA GI PIPE FOR HOT WATER LINE</t>
  </si>
  <si>
    <t xml:space="preserve">COST OF 20MM DIA GI PIPE </t>
  </si>
  <si>
    <t>ADD 20% FOR GI SPECIALS</t>
  </si>
  <si>
    <t>L.S FOR CONSEALING GI PIPE IN WALLS
PAKING ETC.,</t>
  </si>
  <si>
    <t>SUPPLYING AND FIXING</t>
  </si>
  <si>
    <r>
      <t>WASHBASIN</t>
    </r>
    <r>
      <rPr>
        <sz val="11"/>
        <color theme="1"/>
        <rFont val="Calibri"/>
        <family val="2"/>
        <charset val="1"/>
        <scheme val="minor"/>
      </rPr>
      <t xml:space="preserve"> 22"X16" INCLUDING</t>
    </r>
  </si>
  <si>
    <t>COST OF ALL MATERIALS AND</t>
  </si>
  <si>
    <t>FIXING CHARGES</t>
  </si>
  <si>
    <t>Wash Hand Basin of size 550 x 400 mm with all accessories such as CI brackets, 32mm dia CP waste coupling, Rubber pug and chain, 32mm dia B class GI waste pipe, 15mm dia brass nipples. 15mm CP pillar tap etc.,</t>
  </si>
  <si>
    <t>deduct rate for 15mm dia GM wheel valve p -53 /145(v)</t>
  </si>
  <si>
    <t xml:space="preserve"> Angle Valve</t>
  </si>
  <si>
    <t>SUNDRIES FOR PLUGSCREW,PAINT</t>
  </si>
  <si>
    <t>53.2</t>
  </si>
  <si>
    <t xml:space="preserve">CI MANHOLE COVER 45CMX45CMX20KG </t>
  </si>
  <si>
    <t>CI MANHOLE COVER 60CMX60CMX50KG p-59/216</t>
  </si>
  <si>
    <t>53.3</t>
  </si>
  <si>
    <t>CI STEPS (5Kg) (59.65+.35)</t>
  </si>
  <si>
    <t>Brass Tap with ISI Mark p53/146</t>
  </si>
  <si>
    <t>CP TAP (LONG BODY)</t>
  </si>
  <si>
    <t>CP TAP (SHORT BODY)</t>
  </si>
  <si>
    <t>56.1.</t>
  </si>
  <si>
    <t>SUPPLYING AND FIXING OF I.W.C</t>
  </si>
  <si>
    <t>20"WITH TOP LEFT ROUGH TO RECEIVE</t>
  </si>
  <si>
    <t xml:space="preserve">FLOOR FINISH </t>
  </si>
  <si>
    <t xml:space="preserve"> IN G.FLOOR.</t>
  </si>
  <si>
    <t xml:space="preserve"> I.W.C 20"SIZE(Orissa pan)</t>
  </si>
  <si>
    <t xml:space="preserve">E.W EXCAVATION </t>
  </si>
  <si>
    <t>REFILLING</t>
  </si>
  <si>
    <t>BRICK JELLY CONCRETE USING 40mm(1:8:16)</t>
  </si>
  <si>
    <t>Deduct rate for "P" &amp; "S" trap</t>
  </si>
  <si>
    <t xml:space="preserve">Add rate for PVC SWR "P" &amp; "S" trap </t>
  </si>
  <si>
    <t>56.2.</t>
  </si>
  <si>
    <t xml:space="preserve"> IN OTHER THAN G.FLOOR.</t>
  </si>
  <si>
    <t>WEATHERING COURSE</t>
  </si>
  <si>
    <t>USING20mmBRICK JELLY</t>
  </si>
  <si>
    <t>PLASTERING IN C.M(1:3)</t>
  </si>
  <si>
    <t>12mMT.K MIXED WITH W.P.C.</t>
  </si>
  <si>
    <t>BRICK JELLY CONCRETE (1:8:16)</t>
  </si>
  <si>
    <t>USING 40 mm BRICK JELLY</t>
  </si>
  <si>
    <r>
      <t>SUPPLY AND FIXING OF E.W.C.   18" SIZE</t>
    </r>
    <r>
      <rPr>
        <b/>
        <sz val="12"/>
        <rFont val="Helv"/>
      </rPr>
      <t xml:space="preserve"> (WHITE)</t>
    </r>
  </si>
  <si>
    <t>WITH DOUBLE FLAPPED PLASTIC SEAT COVER</t>
  </si>
  <si>
    <t>LOW LEVEL FLUSHING CISTERN 10 LIT.</t>
  </si>
  <si>
    <t>EUROPEAN WATER CLOSET WITH "P" OR "S" TRAP WITH DOUBLE FLAPPED SEAT AND SEAT COVER WITH BRASS HINGES AND 10LIT CAPACITY PVC L;OW LEVEL FLUSHING TANK WITH ALL INTERNAL FITTINGS p-48</t>
  </si>
  <si>
    <t>LABOUR FOR FIXING OF EWC</t>
  </si>
  <si>
    <t>EUROPEAN WATER CLOSET WITH "P" OR "S" TRAP WITH DOUBLE FLAPPED SEAT AND SEAT COVER WITH BRASS HINGES AND 10LIT CAPACITY PVC L;OW LEVEL FLUSHING TANK WITH ALL INTERNAL FITTINGS</t>
  </si>
  <si>
    <t>LABOUR FOR FIXING OF FLUSHING TANK</t>
  </si>
  <si>
    <r>
      <t xml:space="preserve">SUPPLY AND FIXING OF E.W.C.   18" SIZE </t>
    </r>
    <r>
      <rPr>
        <b/>
        <sz val="12"/>
        <rFont val="Helv"/>
      </rPr>
      <t>(COLOUR)</t>
    </r>
  </si>
  <si>
    <t>58.1(a)</t>
  </si>
  <si>
    <t>SUPPLY AND FIXING P.V.C.SOIL</t>
  </si>
  <si>
    <t>PIPESPECIALS OF FOLLOWING DIA:-</t>
  </si>
  <si>
    <t>SUPPLY AND FIXING OF PVC soil PIPE</t>
  </si>
  <si>
    <r>
      <t xml:space="preserve">110MM DIA OF </t>
    </r>
    <r>
      <rPr>
        <b/>
        <sz val="12"/>
        <rFont val="Helv"/>
      </rPr>
      <t>PVC</t>
    </r>
    <r>
      <rPr>
        <sz val="11"/>
        <color theme="1"/>
        <rFont val="Calibri"/>
        <family val="2"/>
        <charset val="1"/>
        <scheme val="minor"/>
      </rPr>
      <t xml:space="preserve"> </t>
    </r>
    <r>
      <rPr>
        <b/>
        <sz val="12"/>
        <rFont val="Helv"/>
      </rPr>
      <t>SWR PIPE</t>
    </r>
    <r>
      <rPr>
        <sz val="11"/>
        <color theme="1"/>
        <rFont val="Calibri"/>
        <family val="2"/>
        <charset val="1"/>
        <scheme val="minor"/>
      </rPr>
      <t xml:space="preserve"> INCLUDING </t>
    </r>
  </si>
  <si>
    <t>PACKING THE JOINTS WITH RUBBER</t>
  </si>
  <si>
    <t>LUBRICANT AND FIXING IN TO</t>
  </si>
  <si>
    <t>WALL WITH WOODEN PLUGS</t>
  </si>
  <si>
    <t>SCREWSHOLDING CLAMPSETC</t>
  </si>
  <si>
    <t>COMPLETE  type 'B'.</t>
  </si>
  <si>
    <t>P.V.C. PIPE 110mm DIA</t>
  </si>
  <si>
    <t>P.V.C BEND WITH DOOR 110MM</t>
  </si>
  <si>
    <t>P.V.C COWL 110MM</t>
  </si>
  <si>
    <t>P.V.C DOOR TEE 110MM p-61 D-c</t>
  </si>
  <si>
    <t>COST OF RUBBER</t>
  </si>
  <si>
    <t>LUBRICANTT.W.PLUGS AND</t>
  </si>
  <si>
    <t>C.I.CLAMPS ETC</t>
  </si>
  <si>
    <t>SUNDERS</t>
  </si>
  <si>
    <t>58.1(b)</t>
  </si>
  <si>
    <t>B.</t>
  </si>
  <si>
    <t>SUPPLY AND FIXING OF PVC PIPE</t>
  </si>
  <si>
    <r>
      <t xml:space="preserve">75MM DIA OF </t>
    </r>
    <r>
      <rPr>
        <b/>
        <sz val="12"/>
        <rFont val="Helv"/>
      </rPr>
      <t>PVC SWR PIPE</t>
    </r>
    <r>
      <rPr>
        <sz val="11"/>
        <color theme="1"/>
        <rFont val="Calibri"/>
        <family val="2"/>
        <charset val="1"/>
        <scheme val="minor"/>
      </rPr>
      <t xml:space="preserve"> INCLUDING </t>
    </r>
  </si>
  <si>
    <t>LUBERICANT AND FIXING IN TO</t>
  </si>
  <si>
    <t>WALL WITH WOODEN PLUGES</t>
  </si>
  <si>
    <t>P.V.C. PIPE 75mm DIA</t>
  </si>
  <si>
    <t>P.V.C BEND WITH DOOR</t>
  </si>
  <si>
    <t>P.V.C COWL</t>
  </si>
  <si>
    <t>P.V.C DOOR TEE</t>
  </si>
  <si>
    <t>58.2</t>
  </si>
  <si>
    <t xml:space="preserve">Supplying &amp;fixing 110mm dia PVC </t>
  </si>
  <si>
    <t xml:space="preserve">SWR pipe for ventilating shaft </t>
  </si>
  <si>
    <t xml:space="preserve">of 3M length with cowl </t>
  </si>
  <si>
    <t>110mm dia PVC SWR pipe</t>
  </si>
  <si>
    <t>110mm dia cowl</t>
  </si>
  <si>
    <t>Labour for fixing</t>
  </si>
  <si>
    <t>Sundries for PVC solution etc.</t>
  </si>
  <si>
    <t>Rate for 1 no.</t>
  </si>
  <si>
    <t>59.</t>
  </si>
  <si>
    <t>SUPLY ING AND FIXING OF</t>
  </si>
  <si>
    <t>150X100mm S.W. GULLY TRAPS</t>
  </si>
  <si>
    <t>BRICK JELLY CONCRETE (1:8:16)40MM</t>
  </si>
  <si>
    <t>60.</t>
  </si>
  <si>
    <t xml:space="preserve">SUPPLY AND FIXING OF P.V.C. </t>
  </si>
  <si>
    <t>NAHANI TRAP 75mm DIA</t>
  </si>
  <si>
    <t xml:space="preserve"> PVC NAHANI TRAP (4WAY/2WAY)</t>
  </si>
  <si>
    <t>SUNDRIES FOR B.J.C,PLASTERING ETC</t>
  </si>
  <si>
    <t>61.1(a)</t>
  </si>
  <si>
    <t>SUPPLY AND FIXING OF 100mm</t>
  </si>
  <si>
    <t>DIA S.W.PIPE</t>
  </si>
  <si>
    <t xml:space="preserve"> 100mmDIA S.W.PIPE WITH ISI MARK</t>
  </si>
  <si>
    <t>E.W. EXCAVATION</t>
  </si>
  <si>
    <t>TAARRED HOMP YARN</t>
  </si>
  <si>
    <t>FITTER II</t>
  </si>
  <si>
    <t>TESTING CHARGES 10%of LABOUR</t>
  </si>
  <si>
    <t>TOTAL FOR 30RMT</t>
  </si>
  <si>
    <t>RATE PER  RMT</t>
  </si>
  <si>
    <t>61.2(b)</t>
  </si>
  <si>
    <t>SUPPLY AND FIXING OF 150mm</t>
  </si>
  <si>
    <t xml:space="preserve"> 150mmDIA S.W.PIPE WITH ISI MARK</t>
  </si>
  <si>
    <t>SUPPLY AND FIXING OF 250mm</t>
  </si>
  <si>
    <r>
      <t xml:space="preserve">250mmDIA S.W.PIPE WITH ISI MARK ( it-13.0/4 </t>
    </r>
    <r>
      <rPr>
        <b/>
        <sz val="12"/>
        <rFont val="Helv"/>
      </rPr>
      <t>of twad 17-18 spl I CLASS )</t>
    </r>
  </si>
  <si>
    <t>61.2(a)</t>
  </si>
  <si>
    <t>DIA S.W.PIPE(LOOSE JOINTING)</t>
  </si>
  <si>
    <t xml:space="preserve"> 100mmDIA S.W.PIPE</t>
  </si>
  <si>
    <t xml:space="preserve"> 150mmDIA S.W.PIPE</t>
  </si>
  <si>
    <t>Total for One Number</t>
  </si>
  <si>
    <t>62.1(a)</t>
  </si>
  <si>
    <t xml:space="preserve"> STONEWARE BEND</t>
  </si>
  <si>
    <t xml:space="preserve"> 100mmDIA S.W.BEND </t>
  </si>
  <si>
    <t>EXCAVATION,REFILLING,JOINTING</t>
  </si>
  <si>
    <t>AND CONCRETING</t>
  </si>
  <si>
    <t xml:space="preserve"> 150mmDIA S.W.BEND </t>
  </si>
  <si>
    <t>62.2.a.</t>
  </si>
  <si>
    <t xml:space="preserve"> STONEWARE TEE</t>
  </si>
  <si>
    <t xml:space="preserve"> 100mmDIA S.W.TEE </t>
  </si>
  <si>
    <t>62.2.b.</t>
  </si>
  <si>
    <t xml:space="preserve"> 150mmDIA S.W.TEE </t>
  </si>
  <si>
    <t>63</t>
  </si>
  <si>
    <t>32mm dia P.V.C Waste Pipe and</t>
  </si>
  <si>
    <t xml:space="preserve">C.P.Coupling of best quality. </t>
  </si>
  <si>
    <t>Rft</t>
  </si>
  <si>
    <t>C.P.Coupling</t>
  </si>
  <si>
    <t>Labour Charge for fixing</t>
  </si>
  <si>
    <t>81</t>
  </si>
  <si>
    <t>Supplying and fixing B.I.C.W.Meter cupboard with</t>
  </si>
  <si>
    <t>shutter double leaves with 230mmx25mm size CW</t>
  </si>
  <si>
    <t>plank for alround sides 62.5x31.25mm styles and</t>
  </si>
  <si>
    <t>rails for shutters and 75x25mm weldmesh of bamd</t>
  </si>
  <si>
    <t>10 gauge for panels including labour charges for</t>
  </si>
  <si>
    <t>fixing inposition of shutters and cost of</t>
  </si>
  <si>
    <t>L-clamps 6nos of size 150x150mm size with</t>
  </si>
  <si>
    <t>25mmx4mm MS flats 1 no 6"x1/2" alumium aldrop</t>
  </si>
  <si>
    <t>with bolt and nuts 6 nos of 2" size I.O. hooks</t>
  </si>
  <si>
    <t>and eyes T.W.plugs screws etc complete and as</t>
  </si>
  <si>
    <t>directed by the Departmental Officers as per</t>
  </si>
  <si>
    <t>Drawings</t>
  </si>
  <si>
    <t>C.W.Scantling for Shutter</t>
  </si>
  <si>
    <t>C.W.Planks</t>
  </si>
  <si>
    <t>Weldmesh</t>
  </si>
  <si>
    <t xml:space="preserve"> 3"I.O. ButtHinges</t>
  </si>
  <si>
    <t xml:space="preserve"> 6"x1/2" Alu. Aldrops</t>
  </si>
  <si>
    <t xml:space="preserve"> 2" I.O.Hooks and Eyes</t>
  </si>
  <si>
    <t>M.S."L" Clamps</t>
  </si>
  <si>
    <t>Labour Charges</t>
  </si>
  <si>
    <t>SUNDRIES FOR T.W.Plugs etc</t>
  </si>
  <si>
    <t>Total for 1.62 Sqm</t>
  </si>
  <si>
    <t>Total for 1.00 Sqm</t>
  </si>
  <si>
    <t>================================================</t>
  </si>
  <si>
    <t>WIRING WITH 1.5SQMM COPPER WIRE  CONCEALED</t>
  </si>
  <si>
    <t>64.a.</t>
  </si>
  <si>
    <t>64.b</t>
  </si>
  <si>
    <t>64.c</t>
  </si>
  <si>
    <t xml:space="preserve"> --DO--FOR 15AMP POWER PLUG</t>
  </si>
  <si>
    <t>70.1</t>
  </si>
  <si>
    <t>70.2</t>
  </si>
  <si>
    <t>S/F OF SLIM TUBELIGHT FITTING WITH ELECTRONICS BALLAST.</t>
  </si>
  <si>
    <t>70.3</t>
  </si>
  <si>
    <t>S/F OF 40W/60W BULB</t>
  </si>
  <si>
    <t>70.4</t>
  </si>
  <si>
    <t>S/F OF PLASTIC SHADE</t>
  </si>
  <si>
    <t>S/F of Fibre Fan Hook</t>
  </si>
  <si>
    <t>73.1</t>
  </si>
  <si>
    <t>73.2</t>
  </si>
  <si>
    <t>S/F OF 4 WAY D.B</t>
  </si>
  <si>
    <t>75(a)</t>
  </si>
  <si>
    <t>SUPPLY AND DELIVERY OF FAN 48"SWEEP with ordinary regulator.</t>
  </si>
  <si>
    <t>75(b)</t>
  </si>
  <si>
    <t>SUPPLY AND FIXING EXSAUST FAN 300MM SWEEP</t>
  </si>
  <si>
    <t>RUN OF MAIN WITH 2NO OF 1.50sq.mm WIRE</t>
  </si>
  <si>
    <t xml:space="preserve">RUN OF 2 WIRES OF 4 SQMM WITH CONTINUOUS EARTHING BY MEANS OF 2.5SQMM FOR A/C </t>
  </si>
  <si>
    <t>SUPPLYING AND FIXING OF A/C METAL CLAD</t>
  </si>
  <si>
    <t>SUPPLYING AND FIXING OF TV/TELEPHONE LINE SOCKET</t>
  </si>
  <si>
    <t>S &amp; F of Exsaust Fan 225mm dia</t>
  </si>
  <si>
    <t>M.S. Angle</t>
  </si>
  <si>
    <t>SUPPLYING AND FIXING OF 20MM DIA PVC PIPE FOR TV/TELEPHONE LINE</t>
  </si>
  <si>
    <t>Mtr</t>
  </si>
  <si>
    <t>PVC RIGID CONDUIT PIPE 19M/20MM HEAVY DUTY WITH ISI P -127/ part  I 1b</t>
  </si>
  <si>
    <t>WIREMAN GR-I</t>
  </si>
  <si>
    <t>SUNDRIES FOR PVC SPECIALS &amp; FISH WIRE ETC.,</t>
  </si>
  <si>
    <t>TOTAL FOR 90RMT</t>
  </si>
  <si>
    <t>EARTHING STATION (TYPE II)</t>
  </si>
  <si>
    <t>GI PIPE 40MM DIA</t>
  </si>
  <si>
    <t>Charcoal 17-18 SD 233 (97.15/20.32 = 4.78)</t>
  </si>
  <si>
    <t>SALT  SD 233 (119.2/20.32 = 5.87)</t>
  </si>
  <si>
    <t>GI WIRE 8 GAUGE p79/pat E3(b)</t>
  </si>
  <si>
    <t>WIRE MAN GR-I</t>
  </si>
  <si>
    <t>HELPER</t>
  </si>
  <si>
    <t>CIVIL WORK SUCH AS EXCAVATION FILLING MASONRY WORK, COVER SLAB ETC.,</t>
  </si>
  <si>
    <t>BOLTS,NUTS &amp; CHOCK NUTS ETC.,</t>
  </si>
  <si>
    <t>Labour Charges for barbed wire fencing for 8.16 kg</t>
  </si>
  <si>
    <t>Fitter I class</t>
  </si>
  <si>
    <t>Mazdoor I class</t>
  </si>
  <si>
    <t>TOTAL FOR 8.16 kg</t>
  </si>
  <si>
    <t>Rate for 1 kg</t>
  </si>
  <si>
    <t>Barbed wire fencing for 10 m</t>
  </si>
  <si>
    <t>Barbed wire 10 gauge 2 ply and four pronged ( Galvanised) it-122 p-49</t>
  </si>
  <si>
    <t>Binding wire</t>
  </si>
  <si>
    <t>Labour</t>
  </si>
  <si>
    <t>Rate for 10m</t>
  </si>
  <si>
    <t>Rate for 1m</t>
  </si>
  <si>
    <t>Labour charges for Auger pile foundation for 2.44m</t>
  </si>
  <si>
    <t>Chain link fencing data for 15sqm</t>
  </si>
  <si>
    <t>Mason II class</t>
  </si>
  <si>
    <t xml:space="preserve">GALVANISIED IRON WIRE 2" x 2" using 10 gauge (of all sizes) p49/143 </t>
  </si>
  <si>
    <t>Hire charges @ 10% of labour charges</t>
  </si>
  <si>
    <t>Rate for 2.44m</t>
  </si>
  <si>
    <t>Rate for 1.00m</t>
  </si>
  <si>
    <t>Rate for 15sqm</t>
  </si>
  <si>
    <t>Rate for 1 sqm</t>
  </si>
  <si>
    <t>Auger pile of size 30cm dia and 3m depth for 1m</t>
  </si>
  <si>
    <t>M3</t>
  </si>
  <si>
    <t>RCC 1:2:4</t>
  </si>
  <si>
    <t>1M3</t>
  </si>
  <si>
    <t>Rate for 1 RM</t>
  </si>
  <si>
    <t>Providing Rain Water Harvesting Perculation pit
a) Providing pit</t>
  </si>
  <si>
    <t>Strutting to centering of R.C.C plain surface, 3.00m height wall.</t>
  </si>
  <si>
    <t>HBSJ 40mm</t>
  </si>
  <si>
    <t>Casurina Props 10 to 13 m dia @ 75m c/c cost for 1 
operation 25.20/5=5.040 p-21 it-146/b</t>
  </si>
  <si>
    <t>Precasted slab Standardised Cement comncrete M 20 grade</t>
  </si>
  <si>
    <t xml:space="preserve"> --------------------</t>
  </si>
  <si>
    <t>Add sundries</t>
  </si>
  <si>
    <t>Rate for 10 sqm</t>
  </si>
  <si>
    <t>.</t>
  </si>
  <si>
    <t>Rate for 1 sqm, for 3m ht.</t>
  </si>
  <si>
    <t>Rate for 1 sqm, for 1m ht.</t>
  </si>
  <si>
    <t>Augering 30 cm dia</t>
  </si>
  <si>
    <t>18.1.a.</t>
  </si>
  <si>
    <t>Form work for Plinth beam, Grade beam, Raft beam</t>
  </si>
  <si>
    <t>Form work for Roof and lintels using M.S sheet</t>
  </si>
  <si>
    <t>Form work for Small quantity and column using M.S. sheet</t>
  </si>
  <si>
    <t>MASON II CLASS</t>
  </si>
  <si>
    <t>d.</t>
  </si>
  <si>
    <t>Form work for Vertical walls</t>
  </si>
  <si>
    <t>MAZDOORI CLASS</t>
  </si>
  <si>
    <t>Hire charges for O2296TOOLS PLANTS at 10% of labour</t>
  </si>
  <si>
    <t>A.C .sheet Roofing with ridge piece</t>
  </si>
  <si>
    <t>A.C. sheet 6mm thick p -44 /72</t>
  </si>
  <si>
    <t>pairs</t>
  </si>
  <si>
    <t>Adjustable ridges p-44 it-74</t>
  </si>
  <si>
    <t>Pairs</t>
  </si>
  <si>
    <t>set</t>
  </si>
  <si>
    <t>U' bolts and nuts p-44 it-75</t>
  </si>
  <si>
    <t>Fitter - II</t>
  </si>
  <si>
    <t>Carpenter - I</t>
  </si>
  <si>
    <t>Mazdoor - I</t>
  </si>
  <si>
    <t xml:space="preserve">Sundries  for white lead </t>
  </si>
  <si>
    <t>A.C .sheet Roofing without ridge piece</t>
  </si>
  <si>
    <t>A.C. sheet 6mm thick fully corrugated</t>
  </si>
  <si>
    <t>Rate for 10 Sqm</t>
  </si>
  <si>
    <t>U bolts &amp; Nuts</t>
  </si>
  <si>
    <t>Pre cast slab 50mm thick in c.c. 1:3:6 mixed with fibre of size .28 x .28 m , 50mm thick</t>
  </si>
  <si>
    <t>Pcc slab - 500 x .28 x .28 = 39.2 Sq.m</t>
  </si>
  <si>
    <t xml:space="preserve">                =39.2 x .05 =1.96 cum</t>
  </si>
  <si>
    <t>Rate per 1 Sqm</t>
  </si>
  <si>
    <t>C.C 1:3:6 using 20mm HBS</t>
  </si>
  <si>
    <t>Mason I class</t>
  </si>
  <si>
    <t>Mazdoor II class</t>
  </si>
  <si>
    <t>Moulding charge</t>
  </si>
  <si>
    <r>
      <t xml:space="preserve">Providing wooden </t>
    </r>
    <r>
      <rPr>
        <b/>
        <sz val="12"/>
        <rFont val="Helv"/>
      </rPr>
      <t>MELAMEN DOOR POLISH</t>
    </r>
  </si>
  <si>
    <t>Cutting, Transporting , Laying &amp; Pointing charges</t>
  </si>
  <si>
    <t>For New Wood</t>
  </si>
  <si>
    <t>Packet</t>
  </si>
  <si>
    <t xml:space="preserve">Fibre (125g/packet) Qtn </t>
  </si>
  <si>
    <t>Contain a size 1.2x2.1 m</t>
  </si>
  <si>
    <t>Area of Polishing 1x1x2.25x1.2x2.1+5.67m2</t>
  </si>
  <si>
    <t>Rate for 39.2 sqm</t>
  </si>
  <si>
    <t xml:space="preserve">Sand paper No 50 (Qtn) </t>
  </si>
  <si>
    <t>Sand paper No 80</t>
  </si>
  <si>
    <t>Sand paper No 100</t>
  </si>
  <si>
    <t>Wooden filter</t>
  </si>
  <si>
    <t>liter</t>
  </si>
  <si>
    <t>sand seal thinner</t>
  </si>
  <si>
    <t>Thinner</t>
  </si>
  <si>
    <t>Squat urinal including all accesseries (LSR new Item -4)p -59/i207</t>
  </si>
  <si>
    <t>Water Emery No 250</t>
  </si>
  <si>
    <t>Water Emery No 320</t>
  </si>
  <si>
    <t>Water Emery No 400</t>
  </si>
  <si>
    <t>gm</t>
  </si>
  <si>
    <t>Teak Powder</t>
  </si>
  <si>
    <t>100gm</t>
  </si>
  <si>
    <t>Red Powder</t>
  </si>
  <si>
    <t>500gm</t>
  </si>
  <si>
    <t xml:space="preserve"> Fresh Chalk Powder</t>
  </si>
  <si>
    <t xml:space="preserve">MELAMEN matt Qtn </t>
  </si>
  <si>
    <t>MELAMEN  Glozy</t>
  </si>
  <si>
    <t>Thinner 106</t>
  </si>
  <si>
    <t>Banian waste</t>
  </si>
  <si>
    <t>S &amp; F of Flat urinal (white)</t>
  </si>
  <si>
    <t>3" Brush</t>
  </si>
  <si>
    <t>1No</t>
  </si>
  <si>
    <t>Flat back urinal including all accesseries p-50/136 1</t>
  </si>
  <si>
    <t>2" Flat Brush</t>
  </si>
  <si>
    <t>Plumber I class</t>
  </si>
  <si>
    <t>PAINTER- I Class</t>
  </si>
  <si>
    <t>PAINTER - II  Class</t>
  </si>
  <si>
    <t>Mazdoor - II  Class</t>
  </si>
  <si>
    <t>Add sundries for CM 1:3</t>
  </si>
  <si>
    <t>Ls</t>
  </si>
  <si>
    <t xml:space="preserve">Bladder &amp; Tools </t>
  </si>
  <si>
    <t>----------------------</t>
  </si>
  <si>
    <r>
      <t xml:space="preserve">TOTAL FOR </t>
    </r>
    <r>
      <rPr>
        <b/>
        <sz val="12"/>
        <rFont val="Helv"/>
      </rPr>
      <t>5.67</t>
    </r>
    <r>
      <rPr>
        <sz val="11"/>
        <color theme="1"/>
        <rFont val="Calibri"/>
        <family val="2"/>
        <charset val="1"/>
        <scheme val="minor"/>
      </rPr>
      <t xml:space="preserve"> SQM</t>
    </r>
  </si>
  <si>
    <t>Rate for 1 Sqm</t>
  </si>
  <si>
    <t xml:space="preserve">              Providing shahabad stone grey colour of 20mm thick in C.M 1:3</t>
  </si>
  <si>
    <t>COST OF Shahabad stone grey colour (Polished Shahabad stone 20mm thick with machine cut edges of size 2' x 2' below) p -42/ 30</t>
  </si>
  <si>
    <t>Cement slurry</t>
  </si>
  <si>
    <t>1000 Kg</t>
  </si>
  <si>
    <t>Pigment (20.03+23.13)/2 =21.58 p37 ( 9 &amp;10/2)</t>
  </si>
  <si>
    <t xml:space="preserve">Mason II </t>
  </si>
  <si>
    <t>Providing rajasthan kota stone of 20mm thick in C.M 1:3</t>
  </si>
  <si>
    <t>Providing rajasthan kota stone slabs of of 20mm thick with machine cut edges of size below in C.M 1:3 p-42 sl.32</t>
  </si>
  <si>
    <t>Pigment</t>
  </si>
  <si>
    <t>RED OXIDE PLASTERING C.M 1:4, 20MM THICK</t>
  </si>
  <si>
    <t>C.M 1:4 , 20MM THICK</t>
  </si>
  <si>
    <t>RED OXIDE p37/i24</t>
  </si>
  <si>
    <t xml:space="preserve">M.S VENTILATOR OF SIZE - 600 X 1350mm ( 1 No ) </t>
  </si>
  <si>
    <t xml:space="preserve">ALROUND M.S FLAT OF SIZE 50 X 10mm      = 3.9 M X 3.9 Kg/Met </t>
  </si>
  <si>
    <t>SQUARE BARS OF SIZE 20 x 20mm               = 12Nos X .6M 3.14 Kg/Met</t>
  </si>
  <si>
    <t>M.S FLAT OF SIZE 25 X 6mm HORIZONTAL = 1 X 2 X 1.2 Kg/Met</t>
  </si>
  <si>
    <t>VERTICAL                                                             = 1 X 3 X 0.6 X 1.2 Kg/Met</t>
  </si>
  <si>
    <t xml:space="preserve"> ============</t>
  </si>
  <si>
    <t>Weld Mesh of size 7.5 x 2.5 cm 10 gauge</t>
  </si>
  <si>
    <t>Fly proof  Mesh</t>
  </si>
  <si>
    <t>Hings</t>
  </si>
  <si>
    <t>Rate for 1 No.</t>
  </si>
  <si>
    <t xml:space="preserve">M.S VENTILATOR OF SIZE - 600 X 900mm ( 1 No ) </t>
  </si>
  <si>
    <t xml:space="preserve">ALROUND M.S FLAT OF SIZE 50 X 10mm      = 3.0 M X 3.925 Kg/Met </t>
  </si>
  <si>
    <t>SQUARE BARS OF SIZE 20 x 20mm               = 8Nos X 0.6M 3.14 Kg/Met</t>
  </si>
  <si>
    <t>M.S FLAT OF SIZE 25 X 6mm HORIZONTAL = 1 X 2 X0.9 x 1.2 Kg/Met</t>
  </si>
  <si>
    <t>ADD FOR BUILDING</t>
  </si>
  <si>
    <t>=============</t>
  </si>
  <si>
    <t>Rate per sqm</t>
  </si>
  <si>
    <t xml:space="preserve">M.S VENTILATOR OF SIZE - 600 X 600mm ( 1 No ) </t>
  </si>
  <si>
    <t xml:space="preserve">ALROUND M.S FLAT OF SIZE 50 X 10mm      = 2.4 M X 3.925 Kg/Met </t>
  </si>
  <si>
    <t>SQUARE BARS OF SIZE 20 x 20mm               =5Nos X 0.6M 3.14 Kg/Met</t>
  </si>
  <si>
    <t>M.S FLAT OF SIZE 25 X 6mm HORIZONTAL = 1 X 2 X0.6 x 1.2 Kg/Met</t>
  </si>
  <si>
    <t xml:space="preserve">M.S VENTILATOR OF SIZE -1285 X 600mm ( 1 No ) </t>
  </si>
  <si>
    <t xml:space="preserve">ALROUND M.S FLAT OF SIZE 50 X 10mm      = 3.77 M X 3.9 Kg/Met </t>
  </si>
  <si>
    <t>SQUARE BARS OF SIZE 20 x 20mm               =12Nos X 0.6M 3.14 Kg/Met</t>
  </si>
  <si>
    <t>M.S FLAT OF SIZE 25 X 6mm HORIZONTAL = 1 X 2 X1.285 x 1.2 Kg/Met</t>
  </si>
  <si>
    <t>Chicken Mesh</t>
  </si>
  <si>
    <t>Hinges</t>
  </si>
  <si>
    <t xml:space="preserve">M.S DOOR OF SIZE 1000 X 2100mm </t>
  </si>
  <si>
    <t>WEIGHT OF MATERIAL</t>
  </si>
  <si>
    <t xml:space="preserve">M.S FLAT OF SIZE 50 X 10mm    = 1.00 X .05 X .01 X 7850 Kg/CUM </t>
  </si>
  <si>
    <t xml:space="preserve">M.S SQUARE BAR 20 X 20mm    = 1.00 X .02 X .02 X 7850 Kg/CUM </t>
  </si>
  <si>
    <t xml:space="preserve">M.S FLAT OF SIZE 25 X 6mm    = 1.00 X .025 X .06 X 7850 Kg/CUM </t>
  </si>
  <si>
    <t>M.S FLAT OF SIZE 50 X 10mm ALROUND            = 1 X 1 X 6.20 X 3.92 Kg/m</t>
  </si>
  <si>
    <t>M.S SQUARE BAR 20 X 20mm HORIZONTAL    = 1 X 3 X 1 X 3.295KG/m</t>
  </si>
  <si>
    <t>M.S FLAT OF SIZE 20 X 20mm                               = 1 X 9 X 2.10 X 3.14Kg/m</t>
  </si>
  <si>
    <t>M.S FLAT OF SIZE 25 X 6mm VERTICAL           = 1 X 2 X 2.10 X 1.2Kg/m</t>
  </si>
  <si>
    <t>M.S FLAT OF SIZE 25 X 6mm HORIZONTAL            = 1 X 4 X 1 X 1.2Kg</t>
  </si>
  <si>
    <t>ADD FOR WELDING</t>
  </si>
  <si>
    <t>1285 x 600mm</t>
  </si>
  <si>
    <t>STEEL</t>
  </si>
  <si>
    <t>Fly proof mesh</t>
  </si>
  <si>
    <t>FOR HINGES</t>
  </si>
  <si>
    <t>LOCKING MATERIAL COST</t>
  </si>
  <si>
    <t>RATE FOR 1 NO</t>
  </si>
  <si>
    <t xml:space="preserve">M.S DOOR OF SIZE 750 X1350mm </t>
  </si>
  <si>
    <t xml:space="preserve">M.S FLAT OF SIZE 50 X 10mm    =0.75 X .05 X .01 X 7850 Kg/CUM </t>
  </si>
  <si>
    <t xml:space="preserve">M.S SQUARE BAR 20 X 20mm    = 0.75X .02 X .02 X 7850 Kg/CUM </t>
  </si>
  <si>
    <t xml:space="preserve">M.S FLAT OF SIZE 25 X 6mm    = 0.75 X .025 X .06 X 7850 Kg/CUM </t>
  </si>
  <si>
    <t>M.S FLAT OF SIZE 50 X 10mm ALROUND            = 1 X 1 X4.20 X 3.9Kg/m</t>
  </si>
  <si>
    <t>M.S SQUARE BAR 20 X 10mm HORIZONTAL    = 1 X 3 X 0.75 X 3.29KG/m</t>
  </si>
  <si>
    <t xml:space="preserve">ALROUND M.S FLAT OF SIZE 50 X 10mm      = 3.77 M X 3.925 Kg/Met </t>
  </si>
  <si>
    <t>M.S FLAT OF SIZE 20 X 20mm                               = 1 X 9 X1.35 X 3.11Kg/m</t>
  </si>
  <si>
    <t>M.S FLAT OF SIZE 25 X 6mm VERTICAL           = 1 X 2 X1.35 X 1.2Kg/m</t>
  </si>
  <si>
    <t>M.S FLAT OF SIZE 25 X 6mm HORIZONTAL            = 1 X 4 X 0.75 X 1.2Kg</t>
  </si>
  <si>
    <t>Steel (p-21 it-130 )</t>
  </si>
  <si>
    <t>Weld Mesh</t>
  </si>
  <si>
    <t>Fly proof  Mesh p-22 it- 167/130</t>
  </si>
  <si>
    <t xml:space="preserve">T.W DOOR SHUTTER TWO LEAVES(1800 X 2100 mm </t>
  </si>
  <si>
    <t xml:space="preserve">SHUTTER AREA      = 2X0.85 X 2.025                         </t>
  </si>
  <si>
    <t>STYLES (OVER 2m) = 2 X 2 X 2.025 X 0.075 X 0.0375         = 0.0228</t>
  </si>
  <si>
    <t xml:space="preserve">RAILS (BELOW 2M) = 2 X 3 X 0.85 X 0.15 X 0.0375          </t>
  </si>
  <si>
    <t xml:space="preserve">              2X 3 X 0.85 X 0.075 X 0.0375     </t>
  </si>
  <si>
    <t xml:space="preserve">PLANKS : 2 X 4 X 0.725 X 0.30 X 0.01875    </t>
  </si>
  <si>
    <t xml:space="preserve">                  2 X 1 X 0.725 X 0.30 X 0.01875    </t>
  </si>
  <si>
    <t>MAIN DATA</t>
  </si>
  <si>
    <t>T.W SCANTLING over 2m</t>
  </si>
  <si>
    <r>
      <t xml:space="preserve">T.W DOUBLE LEAVES FULLY PANELLED DOOR SHUTTER FOR DOOR OF SIZE   (2000 X 2100 mm) </t>
    </r>
    <r>
      <rPr>
        <b/>
        <sz val="14"/>
        <rFont val="Arial"/>
        <family val="2"/>
      </rPr>
      <t>WITH BRASS FITTINGS</t>
    </r>
  </si>
  <si>
    <t xml:space="preserve">SHUTTER AREA      = 2X0.95 X 2.025                         </t>
  </si>
  <si>
    <t xml:space="preserve">RAILS (BELOW 2M) = 2 X 3 X 0.95 X 0.15 X 0.0375          </t>
  </si>
  <si>
    <t xml:space="preserve">              2X 3 X 0.95 X 0.075 X 0.0375     </t>
  </si>
  <si>
    <t>CHICKEN MESH</t>
  </si>
  <si>
    <t xml:space="preserve">PLANKS : 2 X 4 X 0.825 X 0.30 X 0.01875    </t>
  </si>
  <si>
    <t xml:space="preserve">                  2 X 1 X 0.825 X 0.30 X 0.01875    </t>
  </si>
  <si>
    <t>RATE FOR 3.443 SQM</t>
  </si>
  <si>
    <t>T.W DOOR SHUTTER TWO LEAVES(1500 X 2100 mm ) with Brass Fittings</t>
  </si>
  <si>
    <t>SHUTTER AREA      = 2X0.7 X 2.025                                    = 2.835 Sqm</t>
  </si>
  <si>
    <t>RAILS (BELOW 2M) = 2 X 3 X 0.70 X 0.15 X 0.0375              =0.0236</t>
  </si>
  <si>
    <t xml:space="preserve">              2X 3 X 0.7 X 0.075 X 0.0375           = 0.0118</t>
  </si>
  <si>
    <t>T.W DOOR SHUTTER TWO LEAVES(1200 X 2100 mm ) with Brass Fittings</t>
  </si>
  <si>
    <t>PLANKS : 2 X 4 X 0.575 X 0.30 X 0.01875     = 0.0259</t>
  </si>
  <si>
    <t>SHUTTER AREA      = 2X0.55 X 2.025                                    = 2.23 Sqm</t>
  </si>
  <si>
    <t xml:space="preserve">                  2 X 1 X 0.575 X 0.30 X 0.01875     = 0.0065</t>
  </si>
  <si>
    <t>RATE FOR 3.8475 SQM</t>
  </si>
  <si>
    <t>RAILS (BELOW 2M) = 2 X 3 X 0.55 X 0.15 X 0.0375              =0.0186</t>
  </si>
  <si>
    <t xml:space="preserve">              2X 3 X 0.55 X 0.075 X 0.0375           = 0.0093</t>
  </si>
  <si>
    <t>T.W PLANKS (30.45 CM) (12 TO 25CM THICK) p-19 it-110</t>
  </si>
  <si>
    <t>PLANKS : 2 X 4 X 0.425 X 0.30 X 0.01875     = 0.019</t>
  </si>
  <si>
    <t xml:space="preserve">                  2 X 1 X 0.425 X 0.30 X 0.01875     = 0.0048</t>
  </si>
  <si>
    <t>With Brass Filltings</t>
  </si>
  <si>
    <t>DOOR HANDLE Mejastic</t>
  </si>
  <si>
    <t>6" Brass HINGES</t>
  </si>
  <si>
    <t>8" BRASS TOWER BOLTS</t>
  </si>
  <si>
    <t>Mortice lock with handle</t>
  </si>
  <si>
    <t>RUBBER BUSH</t>
  </si>
  <si>
    <t>T.W PLANKS (30.45 CM) (12 TO 25CM THICK)</t>
  </si>
  <si>
    <t>Annexure</t>
  </si>
  <si>
    <t>RATE FOR 2.23 SQM</t>
  </si>
  <si>
    <t>Shutter middle rail(Horizantal) -1X2X0.4X0.15X0.0375=0.0045</t>
  </si>
  <si>
    <t>Shutter(OSL Board)      -2X2X.85X0.4=1.36m2</t>
  </si>
  <si>
    <t xml:space="preserve"> 4"X5/8"ALU.TOWER BOLT</t>
  </si>
  <si>
    <t xml:space="preserve"> ORNAMENTAL  HANDLE WITH SCREWS 100mm</t>
  </si>
  <si>
    <t>LOCKS &amp;KEY</t>
  </si>
  <si>
    <t xml:space="preserve"> ORNAMENTAL  HANDLE WITH SCREWS</t>
  </si>
  <si>
    <t>Supplying,Manufacturing and fixing of cloth drying arrangements data for 1 set</t>
  </si>
  <si>
    <t xml:space="preserve">Cost of 32 mm dia G.I pipe </t>
  </si>
  <si>
    <t>Rm</t>
  </si>
  <si>
    <t>Cost of MS angle 35 x 35x 4mm (2x.6x2.1 kg/m)</t>
  </si>
  <si>
    <t>Cost of Square bars (2x.5x1.13kg/m)</t>
  </si>
  <si>
    <t>Cost of 1clamp 10mm (3x.15x.78)</t>
  </si>
  <si>
    <t xml:space="preserve">Labour charges for welding </t>
  </si>
  <si>
    <t>Cost of fixturehooks</t>
  </si>
  <si>
    <t>Fixing of screws,painting etc.,</t>
  </si>
  <si>
    <t>Rate for 1 set</t>
  </si>
  <si>
    <t>Certified that the observed datas prepard based on the actuals in curred at the time of execution and least amount to the best of my Knowledge.</t>
  </si>
  <si>
    <t>S&amp; F of MS angle of size 35 x35 x 5 mm for stair case steps (.95m)</t>
  </si>
  <si>
    <t>Data for 16 steps - 16*2.6kgs = 41.60 kgs</t>
  </si>
  <si>
    <t xml:space="preserve">Cost of MS angle </t>
  </si>
  <si>
    <t>Stone cutter I</t>
  </si>
  <si>
    <t>Mason I</t>
  </si>
  <si>
    <t>CC 1:2:4,Screws, MS flat, welding charges,painting etc.,</t>
  </si>
  <si>
    <t>Rate for 16 steps</t>
  </si>
  <si>
    <t>Rs.</t>
  </si>
  <si>
    <t>Rate for 1 steps</t>
  </si>
  <si>
    <t>Rate per 1m</t>
  </si>
  <si>
    <t>Primer coat using white cement</t>
  </si>
  <si>
    <t>ABOVE G.L (Fully concealed in walls).</t>
  </si>
  <si>
    <t>SUNDRIES for dismantling &amp; packing the dismantled 
portion</t>
  </si>
  <si>
    <t>GROUND LEVEL(OR) FIXING ON WALLS FULLY CONCEALED TO THE</t>
  </si>
  <si>
    <t>C.W.SINGLY LEAF FULLY PANELLED</t>
  </si>
  <si>
    <t>Anticorrosive Treatment for Window M.S. Grills.</t>
  </si>
  <si>
    <t>SHUTTER SIZE-.9X2.025   =1.8225M2</t>
  </si>
  <si>
    <t>litres</t>
  </si>
  <si>
    <t>Zite Zinc primer ( qtn)</t>
  </si>
  <si>
    <t>litre</t>
  </si>
  <si>
    <t>STYLES(OVER 2M) -1X2X2.025X0.125X0.0375=0.01898</t>
  </si>
  <si>
    <t>Brush</t>
  </si>
  <si>
    <t>Painter I st Class</t>
  </si>
  <si>
    <t>RAILS(BELOW 2M)- 1X4X0.9X0.15X0.0375=      0.02025</t>
  </si>
  <si>
    <t xml:space="preserve">               - 1X2X0.731X0.125X0.0375 =0.00685</t>
  </si>
  <si>
    <t>Rate for 1 MT</t>
  </si>
  <si>
    <t>PLANKS      -1X4X0.60625X02825X0.01875=</t>
  </si>
  <si>
    <t xml:space="preserve">             -1X1X0675X0.2825X0.01875=</t>
  </si>
  <si>
    <t>Providing Single under reamed Pile of 4.50m depth,375mm dia</t>
  </si>
  <si>
    <t>C.W SCANTLING  UPTO 4M LONG (PADAK)</t>
  </si>
  <si>
    <t>Volume of Concrete = 3.14/4*0.3*0.3 (3.50+(1*6*0.3))</t>
  </si>
  <si>
    <t>C.W PLANKS 25mm thick &amp; 30cm wide.</t>
  </si>
  <si>
    <t>TW panelled Door 1800X2400 Double leaves</t>
  </si>
  <si>
    <t>Shutter size 2 x 0.85 x 2.325m</t>
  </si>
  <si>
    <t>Main Data</t>
  </si>
  <si>
    <t>T.W PLANKS  (30 TO 45CM wide, 12 - 25mm THICK)</t>
  </si>
  <si>
    <t>RCC 1:11/2:3 excluding vibrating charges</t>
  </si>
  <si>
    <t>Cement extra @ 10% (323.1*.37)</t>
  </si>
  <si>
    <t>Brass screws</t>
  </si>
  <si>
    <t xml:space="preserve">Ls </t>
  </si>
  <si>
    <t>Add for tools &amp; Plant</t>
  </si>
  <si>
    <t>TOTAL FOR 1.82250SQM</t>
  </si>
  <si>
    <t>_______________________</t>
  </si>
  <si>
    <t>For 3.50m depth</t>
  </si>
  <si>
    <t>For 1m depth</t>
  </si>
  <si>
    <t>Four horizontal &amp; one vertical Panel</t>
  </si>
  <si>
    <t>1200 X 2100MM</t>
  </si>
  <si>
    <t>Five horizontal panels</t>
  </si>
  <si>
    <t xml:space="preserve">             -1X1X0.675X0.2825X0.01875=</t>
  </si>
  <si>
    <t>SHUTTER SIZE-1.10X2.025   =2.2275M2</t>
  </si>
  <si>
    <t>RAILS(BELOW 2M)- 1X3X1.10X0.15X0.0375=      0.01856</t>
  </si>
  <si>
    <t xml:space="preserve">                                         - 1X3X1.10X0.075X0.0375 =  0.00928</t>
  </si>
  <si>
    <t>PLANKS      -1X5X0.9625X02825X0.01875=</t>
  </si>
  <si>
    <t xml:space="preserve">brass DOOR HANDLE 150mm long </t>
  </si>
  <si>
    <t>5" Brass BUTT HINGS</t>
  </si>
  <si>
    <t xml:space="preserve"> 6"x1/2" Brass TOWER BOLT </t>
  </si>
  <si>
    <t>10"x5/8" Brass ALDROP</t>
  </si>
  <si>
    <t>WIDE&amp;12 to 25mm thick</t>
  </si>
  <si>
    <t>Sundries for brass scruew</t>
  </si>
  <si>
    <t>MDF</t>
  </si>
  <si>
    <t>TOTAL FOR 2.2275SQM</t>
  </si>
  <si>
    <t>MDF board exterior grade both side pre laminated including external lipping with kiln dried soft wood 35mm thick</t>
  </si>
  <si>
    <t xml:space="preserve">LABOUR FOR WROUGHT&amp;PUTUP p 33/156 a single </t>
  </si>
  <si>
    <t xml:space="preserve">Four horizontal panels </t>
  </si>
  <si>
    <t>&amp; one vertical panel</t>
  </si>
  <si>
    <t>TOTAL FOR 1.823SQM</t>
  </si>
  <si>
    <t>SHUTTER SIZE-1.10X2.05   =2.255M2</t>
  </si>
  <si>
    <t>STYLES(OVER 2M) -1X2X2.05X0.125X0.0375=0.01922</t>
  </si>
  <si>
    <t>RAILS(BELOW 2M)- 1X4X1.10X0.15X0.0375=      0.02475</t>
  </si>
  <si>
    <t>MDF  double leaf shutter with TW alround frame for ward robe / cup board</t>
  </si>
  <si>
    <t xml:space="preserve">                                         - 1X2X0.74X0.075X0.0375 =  0.00416</t>
  </si>
  <si>
    <t>PLANKS      -1X4X0.60625X02825X0.01875=0.01284</t>
  </si>
  <si>
    <t>PLANKS      -1X1X0.975X02825X0.01875=0.00516</t>
  </si>
  <si>
    <t>Shutter(MDF Board)      -2X2X.85X0.4=1.36m2</t>
  </si>
  <si>
    <t>TOTAL FOR 2.255SQM</t>
  </si>
  <si>
    <t>MDF board 18mm thk exterior grade one side prelaminated.</t>
  </si>
  <si>
    <t>LABOUR CHARGE FOR SHUTTER (Double leaf) p/33 /156 b</t>
  </si>
  <si>
    <t>LOCKS &amp;KEY ( qtn)</t>
  </si>
  <si>
    <t xml:space="preserve">Supply,Laying &amp; Concealing the 50mm dia PVC (SWR) pipe </t>
  </si>
  <si>
    <t xml:space="preserve"> with ISI mark confirming to 13952:1992-type 'B'</t>
  </si>
  <si>
    <r>
      <t xml:space="preserve">50 mm dia PVC (SWR) pipe </t>
    </r>
    <r>
      <rPr>
        <sz val="12"/>
        <color indexed="13"/>
        <rFont val="Arial"/>
        <family val="2"/>
      </rPr>
      <t>( qtn)</t>
    </r>
  </si>
  <si>
    <t>PVC bend</t>
  </si>
  <si>
    <t>sundries for finishing dismantled portion</t>
  </si>
  <si>
    <t>Rate for 2Rmt.</t>
  </si>
  <si>
    <t>Rate per 1Rmt.</t>
  </si>
  <si>
    <t>RCC 1:2:4 for Earth quake resistance arrangements at corner of brick wall including cost of concrete, farication &amp; curing etc.,  data for 2.1m.</t>
  </si>
  <si>
    <t xml:space="preserve">RATE PER CUM </t>
  </si>
  <si>
    <t>RCC 1:2:4 for earth quake resistance arrangements for door/window james.</t>
  </si>
  <si>
    <r>
      <t>concrete  (0.23 x .075 x 2.1 =</t>
    </r>
    <r>
      <rPr>
        <b/>
        <sz val="12"/>
        <rFont val="Arial"/>
        <family val="2"/>
      </rPr>
      <t xml:space="preserve"> 0.036 cum</t>
    </r>
    <r>
      <rPr>
        <sz val="12"/>
        <rFont val="Arial"/>
        <family val="2"/>
      </rPr>
      <t>)</t>
    </r>
  </si>
  <si>
    <t>Steel 8RTS ( 2 x 2.7 x0.3950 = 2.133 kg)</t>
  </si>
  <si>
    <t>Ties 6RTS (0.28 x 15 x 0.222 = 0.932 kg)</t>
  </si>
  <si>
    <t>Total      3.065 kg</t>
  </si>
  <si>
    <r>
      <t xml:space="preserve">Form Work  Small qty.  0.38 x 2.1 = </t>
    </r>
    <r>
      <rPr>
        <b/>
        <sz val="12"/>
        <rFont val="Arial"/>
        <family val="2"/>
      </rPr>
      <t>0.798 sqm</t>
    </r>
  </si>
  <si>
    <t>a. In Ground Floor</t>
  </si>
  <si>
    <t>*2</t>
  </si>
  <si>
    <t>RCC 1:2:4 using 3-10mm HBGS</t>
  </si>
  <si>
    <t xml:space="preserve">steel </t>
  </si>
  <si>
    <t xml:space="preserve">Form Work  Small qty. </t>
  </si>
  <si>
    <t>Total     for 2.1m</t>
  </si>
  <si>
    <t>b. In First Floor</t>
  </si>
  <si>
    <t>c. In  Second Floor</t>
  </si>
  <si>
    <t>d. In  Third Floor</t>
  </si>
  <si>
    <t>SHUTTER SIZE-0.8X2.05   =1.64 M2</t>
  </si>
  <si>
    <t>1200 X 2100MM single leaf</t>
  </si>
  <si>
    <t>SHUTTER SIZE-1.1X2.05   =2.255 M2</t>
  </si>
  <si>
    <t>TOTAL FOR 1.64 sqm</t>
  </si>
  <si>
    <t>Providing Double under reamed Pile of 6m depth,375mm dia</t>
  </si>
  <si>
    <t>Volume of Concrete = (2x4x.375x3.14/4*.375*.375)+(3.14/4x.375x.375x6)</t>
  </si>
  <si>
    <t>TOTAL FOR 2.255 sqm</t>
  </si>
  <si>
    <t>RCC 1:1.5:3 excluding vibrating charges</t>
  </si>
  <si>
    <t>Cement extra @ 10%(323.1x.9935)</t>
  </si>
  <si>
    <t>For 6m depth</t>
  </si>
  <si>
    <t>Gravel Filling</t>
  </si>
  <si>
    <t>Filling charges</t>
  </si>
  <si>
    <t>supply &amp;fixing of cuddapah sink 600x600x200mmsize</t>
  </si>
  <si>
    <t>with 32mm GI waste pipe and 32mm CP waste coupling it-172 p-55</t>
  </si>
  <si>
    <t>Supply and fixing of Mirror of size 600x450mm size (p-56-it-184)</t>
  </si>
  <si>
    <t>Supply and fixing of Mirror of size500x400mm size (p-56 it-184 -ii)</t>
  </si>
  <si>
    <t>Supply and fixing of PVC flushing tank with all fittings</t>
  </si>
  <si>
    <t>10 lit. capacity. P- 68 / 220a</t>
  </si>
  <si>
    <t>SUPPLY AND FIXING EXSAUST FAN 225MM SWEEP</t>
  </si>
  <si>
    <t>Compact Fluoresent Lamp (CFL)</t>
  </si>
  <si>
    <t>a. 14W for Bath &amp; WC</t>
  </si>
  <si>
    <t>b. 18W for Bulkhead fittings</t>
  </si>
  <si>
    <t xml:space="preserve">S/F OF BULK HEAD FITTING for CFL </t>
  </si>
  <si>
    <t>SUPPLY AND DELIVERY OF FAN 48"SWEEP with 
Electronic Regulator step dimmer.</t>
  </si>
  <si>
    <t>10 lit. capacity.</t>
  </si>
  <si>
    <t>Plumber I</t>
  </si>
  <si>
    <t>Rate for Each</t>
  </si>
  <si>
    <t>1200 X 2100MM (Double Leaf)</t>
  </si>
  <si>
    <t>SHUTTER SIZE-1.1X2.025   =2.2275M2</t>
  </si>
  <si>
    <t>1500 X 2400MM (Double Leaf)</t>
  </si>
  <si>
    <t>SHUTTER SIZE-1.4X2.35   =3.29M2</t>
  </si>
  <si>
    <t>TOTAL FOR 2.2275 SQM</t>
  </si>
  <si>
    <t>1500 X 2100MM (Double Leaf)</t>
  </si>
  <si>
    <t>TOTAL FOR 3.29 SQM</t>
  </si>
  <si>
    <t>SHUTTER SIZE-1.4X2.05   =2.87 M2</t>
  </si>
  <si>
    <t>TOTAL FOR 2.87 SQM</t>
  </si>
  <si>
    <t>TW  frame &amp; TW styles &amp; rails with 9 mm thick BWR double leaf shutter for ward robe / cup board</t>
  </si>
  <si>
    <t>Shutter(BWR Plywood)      -2X2X.85X0.4=1.36m2</t>
  </si>
  <si>
    <t>TW single leaf glazed window shutter of size 3.08 x 2.1cm</t>
  </si>
  <si>
    <t xml:space="preserve">SHUTTER SIZE0- 3.08 x 2.1  </t>
  </si>
  <si>
    <t>STYLES(OVER 2M) -1X4X2.05X0.075X0.0375</t>
  </si>
  <si>
    <t>Engineering Polymer Tap  short body tap for coastal area only</t>
  </si>
  <si>
    <t xml:space="preserve">9mm thick BWR ply wood </t>
  </si>
  <si>
    <t>Sub-Data</t>
  </si>
  <si>
    <t>RAILS(BELOW 2M)- 2X3X0.55X0.15X0.0375</t>
  </si>
  <si>
    <t>Labour charge</t>
  </si>
  <si>
    <t xml:space="preserve"> 4"X5/8"ALU.TOWER BOLT p -46/i 95f </t>
  </si>
  <si>
    <t xml:space="preserve">Nos </t>
  </si>
  <si>
    <t>Plywood      -1X2X0.625X0.425</t>
  </si>
  <si>
    <t>gram</t>
  </si>
  <si>
    <t>Shellac p-54/156</t>
  </si>
  <si>
    <t>100 gms</t>
  </si>
  <si>
    <t>Shellac p-49</t>
  </si>
  <si>
    <t>Plywood      -1X2X1.025X0.425</t>
  </si>
  <si>
    <t>Thread ball p-54/158</t>
  </si>
  <si>
    <t>Thread ball p-49</t>
  </si>
  <si>
    <t>TWO COATS of enamel paint incl. Primer</t>
  </si>
  <si>
    <t>Total/1 No</t>
  </si>
  <si>
    <t>SUNDRIES FOR NAILS,PLUGS &amp; Brass screws ETC.</t>
  </si>
  <si>
    <t>Long body</t>
  </si>
  <si>
    <t>short body</t>
  </si>
  <si>
    <t xml:space="preserve">French Window  OF Size  3080 X2100 MM </t>
  </si>
  <si>
    <t>Cost of Tap</t>
  </si>
  <si>
    <t>T.W.SCANTLING belw 2M length</t>
  </si>
  <si>
    <t>4mm thick pin headed glass</t>
  </si>
  <si>
    <t>Rmt.</t>
  </si>
  <si>
    <t>TW beeding 15 x 12 mm</t>
  </si>
  <si>
    <t>Bottle trap with UPVC coupling</t>
  </si>
  <si>
    <t>Providing tee with end cap</t>
  </si>
  <si>
    <t>Bottle trap (Polymer range)</t>
  </si>
  <si>
    <t>PVC Tee 32mm dia (p-100 D-d)</t>
  </si>
  <si>
    <t>200 mm x 12 mm Alu. Towerbolt</t>
  </si>
  <si>
    <t>UPVC coupling</t>
  </si>
  <si>
    <t>PVC end cap 32mm dia (p-100 E-d)</t>
  </si>
  <si>
    <t xml:space="preserve">6" Handle </t>
  </si>
  <si>
    <t>Plumber - I</t>
  </si>
  <si>
    <t>Sundries for brass scrwew</t>
  </si>
  <si>
    <t>TOTAL FOR 5.16 sqm</t>
  </si>
  <si>
    <t xml:space="preserve">French Window  OF Size  1070 X2100 MM </t>
  </si>
  <si>
    <t>SHUTTER SIZE0-.9X2.05   =1.845M2</t>
  </si>
  <si>
    <t>RAILS(BELOW 2M)- 1X3X0.9X0.15X0.0375=      0.0152</t>
  </si>
  <si>
    <t>Plywood      -1X1X0.775X0.64=0.496</t>
  </si>
  <si>
    <t>1200 x 2100mm</t>
  </si>
  <si>
    <t>Plywood      -1X1X0.985X0.775=0.763</t>
  </si>
  <si>
    <t xml:space="preserve">SHUTTER SIZE0-1.1 X 2.05  </t>
  </si>
  <si>
    <t>STYLES(OVER 2M) -1X2X2.05X0.075X0.0375</t>
  </si>
  <si>
    <t>TOTAL FOR 1.74 sqm</t>
  </si>
  <si>
    <t>RAILS(BELOW 2M)- 1X3X1.1X0.15X0.0375</t>
  </si>
  <si>
    <t>Plywood      -1X1X0.625X0.975</t>
  </si>
  <si>
    <t xml:space="preserve">French Window  OF Size  1500 X2000 MM </t>
  </si>
  <si>
    <t>2*2*0.075*.0375*1.95</t>
  </si>
  <si>
    <t>2*2*0.065*.0075*0.375</t>
  </si>
  <si>
    <t>T.W</t>
  </si>
  <si>
    <t>DOOR OF SIZE 1200 X2100 MM Double leaf</t>
  </si>
  <si>
    <t>2*0.65*1.95</t>
  </si>
  <si>
    <t>1*2*0.525*1.825</t>
  </si>
  <si>
    <t>Glass panel</t>
  </si>
  <si>
    <t>2*2*(0.525+1.825)</t>
  </si>
  <si>
    <t>Beeding</t>
  </si>
  <si>
    <t>TOTAL FOR 1.845 SQM</t>
  </si>
  <si>
    <t>Cement Paint two coat for old wall</t>
  </si>
  <si>
    <t>TOTAL FOR 2.535 sqm</t>
  </si>
  <si>
    <t>Cemant paint</t>
  </si>
  <si>
    <t>painter I</t>
  </si>
  <si>
    <t>T.W.DOUBLE LEAF FULLY PANELLED</t>
  </si>
  <si>
    <t>Thorouh scrapping p28/108</t>
  </si>
  <si>
    <t>1500 X 2400MM</t>
  </si>
  <si>
    <t xml:space="preserve">SUNDRIES </t>
  </si>
  <si>
    <t xml:space="preserve">SHUTTER SIZE-1X2X.675X2.3125                                                                                 </t>
  </si>
  <si>
    <r>
      <t xml:space="preserve">STYLES(OVER 2M) -2X2X2.3125X0.15X0.0375                                                      </t>
    </r>
    <r>
      <rPr>
        <b/>
        <sz val="12"/>
        <rFont val="Arial"/>
        <family val="2"/>
      </rPr>
      <t xml:space="preserve">  = 0.052</t>
    </r>
  </si>
  <si>
    <t xml:space="preserve">RAILS(BELOW 2M)- </t>
  </si>
  <si>
    <t xml:space="preserve">Top &amp; Intermediate 2X3X0.675X0.15X0.0375       </t>
  </si>
  <si>
    <t>Cement Paint one coat for old wall</t>
  </si>
  <si>
    <t xml:space="preserve"> Bottom              - 1X2X0.675X0.20X0.0375 = 0.010125</t>
  </si>
  <si>
    <t>PLANKS      -2X2X0.5875X.4X0.01875</t>
  </si>
  <si>
    <t xml:space="preserve">             -1X2X0.5625X0.4X0.01875</t>
  </si>
  <si>
    <t>Thorouh scrapping</t>
  </si>
  <si>
    <t>ls</t>
  </si>
  <si>
    <t>T.W PLANKS OVER 30 TO 45cm</t>
  </si>
  <si>
    <t>WIDE&amp;12TO25mm T.K p-19 it-110</t>
  </si>
  <si>
    <t>PAINTING ONE COATS OVER OLD</t>
  </si>
  <si>
    <t xml:space="preserve">6" Alu. DOOR HANDLE </t>
  </si>
  <si>
    <t>10"X1/2"TOWER BOLT p46 95c</t>
  </si>
  <si>
    <t>Lit</t>
  </si>
  <si>
    <t>12"X5/8"ALDROP p -46 96a</t>
  </si>
  <si>
    <t>RUBBERBUSH 40 DIA &amp; 60 MM LONG  p -46 sl.100</t>
  </si>
  <si>
    <t>Thorouh scrapping (p-31 slno.357 d)</t>
  </si>
  <si>
    <t>Alu. DOOR STOPPER p41 99</t>
  </si>
  <si>
    <t>TOTAL FOR  3.122 SQM</t>
  </si>
  <si>
    <t>T.W.DOUBLE LEAF 2/3 Glazed and 1/3 PANELLED</t>
  </si>
  <si>
    <t>Thorouh scrapping (p-31 slno.112)</t>
  </si>
  <si>
    <t xml:space="preserve">                                                                 </t>
  </si>
  <si>
    <t>-----------------</t>
  </si>
  <si>
    <t>5.5 MM THK. GLASS                -2X2X0.5875X.40</t>
  </si>
  <si>
    <t>PLANKS              -1X2X0.5625X0.4X0.01875</t>
  </si>
  <si>
    <t>T.W. Beeding  - 2 x 2 x 1.975</t>
  </si>
  <si>
    <t>PAINTING TWO COATS OVER OLD</t>
  </si>
  <si>
    <t>WIDE&amp;12TO25mm T.K p19 sl.110</t>
  </si>
  <si>
    <t>5.5 MM THICK PLAIN GLASS p49 sl.126</t>
  </si>
  <si>
    <t>T.W. beeding 15mm x 12 mm p46 85a</t>
  </si>
  <si>
    <t>LABOUR FOR WROUGHT&amp;PUTUP p33 sl.146 /4</t>
  </si>
  <si>
    <t>6" Alu. DOOR HANDLE p41/84</t>
  </si>
  <si>
    <t xml:space="preserve">  5"BUTT HINGS p40/77a</t>
  </si>
  <si>
    <t>10"X1/2"TOWER BOLT</t>
  </si>
  <si>
    <t>12"X5/8"ALDROP</t>
  </si>
  <si>
    <t xml:space="preserve">RUBBERBUSH 40 DIA &amp; 60 MM LONG </t>
  </si>
  <si>
    <t>Alu. DOOR STOPPER</t>
  </si>
  <si>
    <t>1200 X 2400MM</t>
  </si>
  <si>
    <t xml:space="preserve">SHUTTER SIZE-1X2X.525X2.3125                                                                                 </t>
  </si>
  <si>
    <t>Ornamental TW panelled Door 1800X2400 Double leaves</t>
  </si>
  <si>
    <t>Data and non scheduled items as per CER 2008-09 for PERURANI Scheme)</t>
  </si>
  <si>
    <t xml:space="preserve">Top &amp; Intermediate 2X3X0.525X0.15X0.0375       </t>
  </si>
  <si>
    <t xml:space="preserve"> Bottom              - 1X2X0.525X0.20X0.0375 = 0.010125</t>
  </si>
  <si>
    <t>T.W SCANTLING BELOW 2m</t>
  </si>
  <si>
    <t>labour charges for carving work</t>
  </si>
  <si>
    <t>WITH C.M(1:5)20mm THICK</t>
  </si>
  <si>
    <t>PLANKS      -2X2X0.25X.5875X0.01875</t>
  </si>
  <si>
    <t>Brass hinges 6"</t>
  </si>
  <si>
    <t xml:space="preserve">             -1X2X0.5625X0.25X0.01875</t>
  </si>
  <si>
    <t>16" brass tower bolt</t>
  </si>
  <si>
    <t>8" brass tower bolt</t>
  </si>
  <si>
    <t>10" brass tower bolt</t>
  </si>
  <si>
    <t>Removal of old cement mortor racking out joints 20mm deep p-30/107/321</t>
  </si>
  <si>
    <t>7" mortice lock with brass handle985</t>
  </si>
  <si>
    <t>12" majestic door handle</t>
  </si>
  <si>
    <r>
      <t xml:space="preserve">Brass screws </t>
    </r>
    <r>
      <rPr>
        <sz val="11"/>
        <color theme="1"/>
        <rFont val="Calibri"/>
        <family val="2"/>
        <charset val="1"/>
        <scheme val="minor"/>
      </rPr>
      <t>not necessary as there is brass fittings</t>
    </r>
  </si>
  <si>
    <t>T.W PLANKS OVER 15 TO 30cm</t>
  </si>
  <si>
    <t>RATE for 3.0225 SQM</t>
  </si>
  <si>
    <t>RATE FOR 1 SQM</t>
  </si>
  <si>
    <t>Matt paint one coat</t>
  </si>
  <si>
    <t>TOTAL FOR  2.428 SQM</t>
  </si>
  <si>
    <t>Thorough scrapping</t>
  </si>
  <si>
    <t>BWR DOUBLE LEAF FULLY PANELLED</t>
  </si>
  <si>
    <t>Ornamental TW panelled Door 1800X2100 Double leaves</t>
  </si>
  <si>
    <t>PLANKS  BWR 9mm thick.    -2X2X0.25X.5875</t>
  </si>
  <si>
    <t xml:space="preserve">             -1X2X0.5625X0.25</t>
  </si>
  <si>
    <t xml:space="preserve">BWR DOUBLE LEAF 2/3 Glazed and 1/3 PANELLED </t>
  </si>
  <si>
    <t>T.W PLANKS (12-25 CM) (30 TO 45CM THICK) it-116 iii p-21</t>
  </si>
  <si>
    <t>PLANKS BWR 9mm thick          -1X2X0.5625X0.4</t>
  </si>
  <si>
    <t>Rubber Bush</t>
  </si>
  <si>
    <t>5.5 MM THICK PLAIN GLASS</t>
  </si>
  <si>
    <t>T.W. beeding 15mm x 12 mm</t>
  </si>
  <si>
    <t>Brassscrews</t>
  </si>
  <si>
    <r>
      <t xml:space="preserve">PAINTING TWO COATS OVER NEW           </t>
    </r>
    <r>
      <rPr>
        <b/>
        <sz val="12"/>
        <rFont val="Helv"/>
      </rPr>
      <t>(as per PWD Standard Data)</t>
    </r>
  </si>
  <si>
    <t>OBD</t>
  </si>
  <si>
    <t>OBD p-50 sl.129</t>
  </si>
  <si>
    <t>BWR SINGLE LEAF FULLY PANELLED</t>
  </si>
  <si>
    <t>900 X 2400MM</t>
  </si>
  <si>
    <t xml:space="preserve">SHUTTER SIZE-1X.75X2.3125                                                                                 </t>
  </si>
  <si>
    <r>
      <t xml:space="preserve">STYLES(OVER 2M) -1X3X2.3125X0.15X0.0375                                                      </t>
    </r>
    <r>
      <rPr>
        <b/>
        <sz val="12"/>
        <rFont val="Arial"/>
        <family val="2"/>
      </rPr>
      <t xml:space="preserve">  = 0.052</t>
    </r>
  </si>
  <si>
    <t xml:space="preserve">Top &amp; Intermediate 1X3X0.75X0.15X0.0375       </t>
  </si>
  <si>
    <t>Plastic Emulsion PAINT two coat for old wall</t>
  </si>
  <si>
    <t xml:space="preserve"> Bottom              - 1X0.75X0.20X0.0375 = 0.010125</t>
  </si>
  <si>
    <t>Painter I</t>
  </si>
  <si>
    <t>PLANKS  BWR 9mm thick.    -2X2X0.175X.5875</t>
  </si>
  <si>
    <t xml:space="preserve">             -1X2X0.5625X0.175</t>
  </si>
  <si>
    <t>Plastic Emulsion PAINT one coat for old wall</t>
  </si>
  <si>
    <t>TOTAL FOR 1.734 SQM</t>
  </si>
  <si>
    <t xml:space="preserve">Top &amp; Intermediate 1X3X0.9X0.15X0.0375       </t>
  </si>
  <si>
    <t xml:space="preserve"> Bottom              - 1X1X0.9X0.20X0.0375</t>
  </si>
  <si>
    <t>1050 X 2400MM</t>
  </si>
  <si>
    <t xml:space="preserve">SHUTTER SIZE-1X.90 X 2.3125                                                                                 </t>
  </si>
  <si>
    <t>6" Alu. DOOR HANDLE  p41 80b</t>
  </si>
  <si>
    <t xml:space="preserve">  5"BUTT HINGS p40 77a</t>
  </si>
  <si>
    <t>10"X1/2"TOWER BOLT p 40 78c</t>
  </si>
  <si>
    <t>12"X5/8"ALDROP p41 79a</t>
  </si>
  <si>
    <t>TOTAL FOR 2.081 SQM</t>
  </si>
  <si>
    <t>T.W DOOR SHUTTER TWO LEAVES(2000 X 2400 mm) WITH BRASS FITINGS</t>
  </si>
  <si>
    <t xml:space="preserve">SHUTTER AREA      = 2X0.95 X 2.325                         </t>
  </si>
  <si>
    <t>STYLES (OVER 2m) = 2 X 2 X 2.325 X 0.075 X 0.0375         = 0.0228</t>
  </si>
  <si>
    <t>Bottom</t>
  </si>
  <si>
    <t xml:space="preserve">            2x  2X  0.95 X 0.075 X 0.0375     </t>
  </si>
  <si>
    <t xml:space="preserve">PLANKS : 2 X 4 X 0.825 X 0.36 X 0.01875    </t>
  </si>
  <si>
    <t xml:space="preserve">                  2 X 1 X 0.825 X 0.36 X 0.01875    </t>
  </si>
  <si>
    <t>T.W PLANKS (30 to 45 CM) (12 TO 25CM THICK)</t>
  </si>
  <si>
    <t>5.5 MM THK. GLASS                -2X2X0.5875X0.25</t>
  </si>
  <si>
    <t>RATE FOR 4.4175 SQM</t>
  </si>
  <si>
    <t>PLANKS              -1X2X0.5625X0.25x0.01875</t>
  </si>
  <si>
    <t>T.W. Beeding  - 2 x 2 x 1.675</t>
  </si>
  <si>
    <t>Providing Acid proof tile flooring of</t>
  </si>
  <si>
    <t>any size  including pointing etc.,</t>
  </si>
  <si>
    <t>COST Of acid proof tile (as per Krishnagiri DPO)</t>
  </si>
  <si>
    <t>Colour pigment</t>
  </si>
  <si>
    <r>
      <t xml:space="preserve">S &amp; F best indian 2/3 Glazed 1/3 Teak wood Panelled door shutter of size 
</t>
    </r>
    <r>
      <rPr>
        <b/>
        <u/>
        <sz val="13"/>
        <rFont val="Arial"/>
        <family val="2"/>
      </rPr>
      <t>b)1500mmx2100mm</t>
    </r>
  </si>
  <si>
    <t>T.W SCANTLING ABOVE 2m</t>
  </si>
  <si>
    <t>Glass 5.5mm thick</t>
  </si>
  <si>
    <t>M.S.Grill</t>
  </si>
  <si>
    <t>/cum</t>
  </si>
  <si>
    <t xml:space="preserve">Labour charges for shutter glazed door </t>
  </si>
  <si>
    <t>10"x5/8" Aldrop</t>
  </si>
  <si>
    <t>Alu.DOOR HANDLE WITH CP SCREWS (150mm long)</t>
  </si>
  <si>
    <t>Painting two coats of M.S. Grill</t>
  </si>
  <si>
    <t>Best varnishing two coats</t>
  </si>
  <si>
    <t>Sundries for brass screw</t>
  </si>
  <si>
    <t>Total for Each</t>
  </si>
  <si>
    <r>
      <t xml:space="preserve">Supply and laying of </t>
    </r>
    <r>
      <rPr>
        <b/>
        <sz val="12"/>
        <rFont val="Helv"/>
      </rPr>
      <t>Hard core</t>
    </r>
    <r>
      <rPr>
        <sz val="11"/>
        <color theme="1"/>
        <rFont val="Calibri"/>
        <family val="2"/>
        <charset val="1"/>
        <scheme val="minor"/>
      </rPr>
      <t xml:space="preserve"> layer of 30</t>
    </r>
    <r>
      <rPr>
        <b/>
        <sz val="12"/>
        <rFont val="Helv"/>
      </rPr>
      <t>0mm</t>
    </r>
    <r>
      <rPr>
        <sz val="11"/>
        <color theme="1"/>
        <rFont val="Calibri"/>
        <family val="2"/>
        <charset val="1"/>
        <scheme val="minor"/>
      </rPr>
      <t xml:space="preserve"> consolidated thickness (10Sqm x .3m thick= 3.0 cum)</t>
    </r>
  </si>
  <si>
    <t>Supply of 80-63mm metal 60%</t>
  </si>
  <si>
    <t>Supply of 40-10mm metal 40%</t>
  </si>
  <si>
    <t>Supply of river sand for filling the voids at 20%</t>
  </si>
  <si>
    <t>SUB DATA for hand rolling as per Highways SR</t>
  </si>
  <si>
    <t xml:space="preserve">Labour charges for placing metal and sand </t>
  </si>
  <si>
    <t>labour charges for watering and consolidation by power roller</t>
  </si>
  <si>
    <t>Rate for 0.75m3</t>
  </si>
  <si>
    <t xml:space="preserve">Vibrator / Earth rammed </t>
  </si>
  <si>
    <t>Rate for 1m3</t>
  </si>
  <si>
    <t>Sundries for watering through water set</t>
  </si>
  <si>
    <t>SUB DATA for Labour Charges only</t>
  </si>
  <si>
    <r>
      <t>For 3 m</t>
    </r>
    <r>
      <rPr>
        <vertAlign val="superscript"/>
        <sz val="12"/>
        <rFont val="Helv"/>
      </rPr>
      <t xml:space="preserve">3 </t>
    </r>
  </si>
  <si>
    <t xml:space="preserve">Mason II Class </t>
  </si>
  <si>
    <t>For 1m3</t>
  </si>
  <si>
    <t>Mazdoor I Class</t>
  </si>
  <si>
    <t>Mazdoor II Class</t>
  </si>
  <si>
    <t>Rate for 10m3</t>
  </si>
  <si>
    <t>Flush door shutter size 1200x2400 (Double leaf)</t>
  </si>
  <si>
    <t>shutter size 1200x2400 (Double leaf)=1.1 x 2.325 =</t>
  </si>
  <si>
    <t>Forpower rolling as per PWD SR 2017-18 it-71 b / P.25</t>
  </si>
  <si>
    <t>Solid core flush door shutter with TW palin -it-110 p-47</t>
  </si>
  <si>
    <t>Labour for Wrought &amp; Putup p33/156b</t>
  </si>
  <si>
    <t>Door Handle with CP screws 6' p41/80b</t>
  </si>
  <si>
    <t>Flush door shutter size 1500x2400 (Double leaves)</t>
  </si>
  <si>
    <t>5" Butt Hings p40/77a</t>
  </si>
  <si>
    <t>shutter size 1500x2400 (Double leaves)=1.4 x 2.325 =</t>
  </si>
  <si>
    <t>6"x1/2" Tower Bolt p40/78e</t>
  </si>
  <si>
    <t>Solid core flush door shutter with TW palin -it-93 p-43</t>
  </si>
  <si>
    <t>10"x5/8" Aldrop p41/79b</t>
  </si>
  <si>
    <t>Labour for Wrought &amp; Putup (SR P.31,it-156)</t>
  </si>
  <si>
    <t>Brass Screws</t>
  </si>
  <si>
    <t>Door Handle with CP screws 6'</t>
  </si>
  <si>
    <t>Rubber bush p41/83</t>
  </si>
  <si>
    <t>5" Butt Hings</t>
  </si>
  <si>
    <t>Door Stopper</t>
  </si>
  <si>
    <t>6"x1/2" Tower Bolt</t>
  </si>
  <si>
    <t>Varnish Two Coats</t>
  </si>
  <si>
    <t>Rate for 2.23 Sqm</t>
  </si>
  <si>
    <t>Rubber bush</t>
  </si>
  <si>
    <t>Flush door shutter size 1000x2100 ( Single leaf)</t>
  </si>
  <si>
    <t>Rate for 3.26 Sqm</t>
  </si>
  <si>
    <t>Flush door shutter size 1000x2400 ( Single leaf)</t>
  </si>
  <si>
    <t>Flush door shutter size 900x2100 ( Single leaf)</t>
  </si>
  <si>
    <t>Shutter size (0.9 x 2.025)</t>
  </si>
  <si>
    <t>Shutter size (0.9 x 2.325)</t>
  </si>
  <si>
    <t>Solid core flush door shutter with TW palin</t>
  </si>
  <si>
    <t>Solid core flush door shutter with TW plain</t>
  </si>
  <si>
    <t>Labour for Wrought &amp; Putup p33/156a</t>
  </si>
  <si>
    <t>Labour for Wrought &amp; Putup</t>
  </si>
  <si>
    <t>Labour for Wrought &amp; Putup p31/156a</t>
  </si>
  <si>
    <t>Flush door shutter size 1200x2400 ( Single leaf)</t>
  </si>
  <si>
    <t>shutter size 1200x2400 (Double leaves)=1.1 x 2.325 =</t>
  </si>
  <si>
    <t>Labour for Wrought &amp; Putup (SR P.32,it-156a)</t>
  </si>
  <si>
    <t>Painting Two Coats</t>
  </si>
  <si>
    <t>Rate for 1.82 Sqm</t>
  </si>
  <si>
    <t>Rate for 2.09 Sqm</t>
  </si>
  <si>
    <t>Rate for 1.62 Sqm</t>
  </si>
  <si>
    <t>Rate for 2.56 Sqm</t>
  </si>
  <si>
    <t>Flush door shutter size 1500x2100 ( Double leaf)</t>
  </si>
  <si>
    <r>
      <t>WASHBASIN</t>
    </r>
    <r>
      <rPr>
        <sz val="11"/>
        <color theme="1"/>
        <rFont val="Calibri"/>
        <family val="2"/>
        <charset val="1"/>
        <scheme val="minor"/>
      </rPr>
      <t xml:space="preserve"> (White Pedastal type)  22"X16" INCLUDING</t>
    </r>
  </si>
  <si>
    <t>Shutter size (1.4 x 2.025)</t>
  </si>
  <si>
    <t>Wash Hand Basin of size 550 x 400 mm with all accessories such as CI brackets, 32mm dia CP waste coupling, Rubber plug and chain, 32mm dia B class GI waste pipe, 15mm dia brass nipples. 15mm CP pillar tap etc.,P-55 it-169 -i</t>
  </si>
  <si>
    <t>deduct rate for 15mm dia GM wheel valve</t>
  </si>
  <si>
    <t>Rate for 2.84 Sqm</t>
  </si>
  <si>
    <t>Flush door shutter size 1500x2400 ( Double leaf)</t>
  </si>
  <si>
    <t>Shutter size (1.4 x 2.325)</t>
  </si>
  <si>
    <t xml:space="preserve">Two legged scaffolding using 15cm dia casurna props </t>
  </si>
  <si>
    <t>15cm dia Casurina post p-20 it-138</t>
  </si>
  <si>
    <t>1 Rmt</t>
  </si>
  <si>
    <t>Country wood planks (silver oak) p-138 it130/78b</t>
  </si>
  <si>
    <t>1 Cum</t>
  </si>
  <si>
    <t>total cost of material used for 10 times</t>
  </si>
  <si>
    <t>Cost per 1 operation</t>
  </si>
  <si>
    <t>Oper</t>
  </si>
  <si>
    <t>15cm dia casurina post</t>
  </si>
  <si>
    <t>Add for coir, nail etc</t>
  </si>
  <si>
    <t>Rate for 6m</t>
  </si>
  <si>
    <t>Rate for intial height of 3m and length of 1m</t>
  </si>
  <si>
    <t xml:space="preserve">For every additional height of 2.5m height </t>
  </si>
  <si>
    <t>m</t>
  </si>
  <si>
    <t>vertical post of casurina post (13cm to 15cm)</t>
  </si>
  <si>
    <t>Flush door shutter size 1800x2400 (Double leaf)</t>
  </si>
  <si>
    <t>Cost of material plank</t>
  </si>
  <si>
    <t>shutter size 1800x2400 (Double leaf)=1.7 x 2.325 =</t>
  </si>
  <si>
    <t>Cost per 10 operation</t>
  </si>
  <si>
    <t>Sundries for coir , nais etc</t>
  </si>
  <si>
    <t>cost for 6 Rmt</t>
  </si>
  <si>
    <t>cost of 1m run ane every additional height of 2.5m</t>
  </si>
  <si>
    <t>For 3m Height</t>
  </si>
  <si>
    <t>5.5m height in addition of 2.5m ht</t>
  </si>
  <si>
    <t>8m height in addition of 2.5m ht</t>
  </si>
  <si>
    <t>10.5m height in addition of 2.5m ht</t>
  </si>
  <si>
    <t>13m height in addition of 2.5m ht</t>
  </si>
  <si>
    <t>Rate for 3.95 Sqm</t>
  </si>
  <si>
    <t>TW single leaf french window</t>
  </si>
  <si>
    <t xml:space="preserve">shutter  for frame of overall height 3.08 x 2.1cm </t>
  </si>
  <si>
    <t>Flush door shutter size 1800x2100 (Double leaf)</t>
  </si>
  <si>
    <t>LABOUR CHARGE for wroght &amp; put up</t>
  </si>
  <si>
    <t>shutter size 1800x2100 (Double leaf)=1.7 x 2.025 =</t>
  </si>
  <si>
    <t>4 mm thicj frosted glass</t>
  </si>
  <si>
    <t>TW Beeding 15 x12 mm</t>
  </si>
  <si>
    <t xml:space="preserve"> 200 mm long x12mm  ALU. TOWERBOLT (8")</t>
  </si>
  <si>
    <t>6" Handles ( 150mm long)</t>
  </si>
  <si>
    <t>TOTAL FOR 5.16 SQM</t>
  </si>
  <si>
    <t>Rate for 3.44 Sqm</t>
  </si>
  <si>
    <t>TW Panelled Swing type ventilater</t>
  </si>
  <si>
    <t>of size 75x 75cm</t>
  </si>
  <si>
    <t>Flush door shutter size 1200x2100 ( Single leaf)</t>
  </si>
  <si>
    <t>shutter size 1200x2100 (single leaf)=1.1 x 2.025 =</t>
  </si>
  <si>
    <t xml:space="preserve">SHUTTER SIZE-0.65X0.65                                                                                 </t>
  </si>
  <si>
    <r>
      <t xml:space="preserve">STYLES -2X0.65 x   7.525 x 3.125                                                 </t>
    </r>
    <r>
      <rPr>
        <b/>
        <sz val="12"/>
        <rFont val="Arial"/>
        <family val="2"/>
      </rPr>
      <t xml:space="preserve">  = 0.052</t>
    </r>
  </si>
  <si>
    <t xml:space="preserve">Top &amp; Intermediate 2X3X7.5255X0.15X0.0375       </t>
  </si>
  <si>
    <t>With Brass fittings</t>
  </si>
  <si>
    <t xml:space="preserve">Providing Colour Marble chips of size 10mm and below using 70.20Kgs of cement and 15 cum of Colour Marble chips for every 10 sqm over the existing plastered surface </t>
  </si>
  <si>
    <t xml:space="preserve"> Cost of Colour Marble chips ( 89.40/0.0354)=2525.42 (P-41 it-24 )</t>
  </si>
  <si>
    <t xml:space="preserve">Colour Pigment </t>
  </si>
  <si>
    <t>Supply and fixing of colour matt finish door 15 microns double leaf door Aluminium Door  ( 1.5 x2.1m thick)</t>
  </si>
  <si>
    <t>UPVC instead of Stone ware Pipe</t>
  </si>
  <si>
    <t>Aluminium section ''it-61 a( rev SR-17-18)</t>
  </si>
  <si>
    <t>SUPPLYING AND  LAYING AND</t>
  </si>
  <si>
    <t>Rubber beeding (An-VI -it-63 p-40</t>
  </si>
  <si>
    <t>JOINTING SN8 UPVC PIPE AND SPECIALS</t>
  </si>
  <si>
    <t>Glass 5.5mm plain  it-107</t>
  </si>
  <si>
    <t>Novapan Sheet 12mm Thick</t>
  </si>
  <si>
    <t>Unit</t>
  </si>
  <si>
    <t>Power Grapping p-52 it-173</t>
  </si>
  <si>
    <t>110mm DIA  UPVC PIPE BELOW G.L</t>
  </si>
  <si>
    <t>PVC Felt ( It-65)</t>
  </si>
  <si>
    <t>DOOR STOPPER   It-82</t>
  </si>
  <si>
    <t>Hydraulic DOOR Closer It-67</t>
  </si>
  <si>
    <t>Cost of UPVC SN8 Pipe (TWAD SR 18-19 P-20 1.2 1)</t>
  </si>
  <si>
    <t xml:space="preserve">  SCREWS (75x 10mm)it-108 ii</t>
  </si>
  <si>
    <t>Bolts &amp; Nuts ( 3/4"x 1/4") It-78-b</t>
  </si>
  <si>
    <t>Bolts &amp; Nuts ( 6"x 1/2") it-78-e</t>
  </si>
  <si>
    <t>TOTAL FOR 3.15 SQM</t>
  </si>
  <si>
    <t>JOINTING MATERIALS. (TWAD SR 17-18 11-b)</t>
  </si>
  <si>
    <t>CUTTING CHARGES ( P-32/141)</t>
  </si>
  <si>
    <t>160mm DIA  UPVC PIPE BELOW G.L</t>
  </si>
  <si>
    <t>Supply and fixing of colour matt finish door 15 microns double leaf door Aluminium Door  ( 1.0 x2.1m thick)</t>
  </si>
  <si>
    <t>Cost of UPVC SN8 Pipe (TWAD SR 18-19 P-20 1.2 a /3)</t>
  </si>
  <si>
    <t>Rubber beeding (An-VI -it-63</t>
  </si>
  <si>
    <t xml:space="preserve">  SCREWS (75x 10mm)(An-VI -it-163</t>
  </si>
  <si>
    <t>Bolts &amp; Nuts ( 3/4"x 1/4") It-78-b p-40</t>
  </si>
  <si>
    <t>TOTAL FOR 2.1 SQM</t>
  </si>
  <si>
    <t>Aluminium  Anodised 1.80 x1.35 m</t>
  </si>
  <si>
    <r>
      <t>Supplying, fabricating and fixing inposition A</t>
    </r>
    <r>
      <rPr>
        <b/>
        <sz val="11"/>
        <color indexed="8"/>
        <rFont val="Arial"/>
        <family val="2"/>
      </rPr>
      <t>luminium anodised natural colour matt finish four Track Sliding Window</t>
    </r>
    <r>
      <rPr>
        <sz val="11"/>
        <color indexed="8"/>
        <rFont val="Arial"/>
        <family val="2"/>
      </rPr>
      <t xml:space="preserve"> size 1.80mm x 1.35 mm of with outer frame section with 62x38x2mm at 1.174 kg/m and the louvered with moving arrangements made with aluminium channel of size 60x30x4mm @ 1.274 kg/m ALuminium clips 19.05x17.27/ 11.05x0.075mm @ 0.169kg/m with necessary 4mm thick plain glass panel for louvers including cost of all materials, labour and power required for fabrications, chipping dismantling making holes in RCC column ,slab, masonry and made good to the original condition after fixing etc., complete. The Aluminium surface is to be anodised with matt finish under electrically controlled condition in accordance with ISI specification 1868/1962 for anodic film thickness of notless than 15 Microns,etc., complete.</t>
    </r>
    <r>
      <rPr>
        <b/>
        <sz val="11"/>
        <color indexed="8"/>
        <rFont val="Arial"/>
        <family val="2"/>
      </rPr>
      <t>1.80mm x 1.35 mm</t>
    </r>
  </si>
  <si>
    <t>Aluminium section ''it-61 a( rev SR-18-19)</t>
  </si>
  <si>
    <t>SUPPLY AND FIXING OF GALVANIUM SHEET 0.47MM THICK</t>
  </si>
  <si>
    <t>GALVANIUM SHEET 0.47MM THICK ( qtn)</t>
  </si>
  <si>
    <t>Glass 4 mm thichk plain  it-106</t>
  </si>
  <si>
    <t xml:space="preserve">FITTER I st  CLASS </t>
  </si>
  <si>
    <t xml:space="preserve"> PVC  Roller for sliding ''it-75 ( rev SR-18-19)</t>
  </si>
  <si>
    <t>CARPENTER I ST CLASS</t>
  </si>
  <si>
    <t>Lock  for sliding ''it-70 ( rev SR-18-19)</t>
  </si>
  <si>
    <t>MAZDOOR I ST CLASS</t>
  </si>
  <si>
    <t>Handle" D "type 100mm long ''it-80 c ( rev SR-18-19)</t>
  </si>
  <si>
    <t xml:space="preserve">L.S </t>
  </si>
  <si>
    <t xml:space="preserve">Bolts &amp;  Washers </t>
  </si>
  <si>
    <t xml:space="preserve">Rate For 10 Sqm </t>
  </si>
  <si>
    <t xml:space="preserve">Screws  rayal plugs  and stopper etc </t>
  </si>
  <si>
    <t xml:space="preserve">Rate For 1 Sqm </t>
  </si>
  <si>
    <t xml:space="preserve"> REVISED SR 2017-18 </t>
  </si>
  <si>
    <t>Say</t>
  </si>
  <si>
    <t>Wall Panelling data as per DPO Thanjavur</t>
  </si>
  <si>
    <t>Aluminium  Anodised 1.35 x1.35 m</t>
  </si>
  <si>
    <t>Country wood reeper (50 x 25 mm p-22 s.no.132)</t>
  </si>
  <si>
    <r>
      <t>Supplying, fabricating and fixing inposition A</t>
    </r>
    <r>
      <rPr>
        <b/>
        <sz val="11"/>
        <color indexed="8"/>
        <rFont val="Arial"/>
        <family val="2"/>
      </rPr>
      <t>luminium anodised natural colour matt finish four Track Sliding Window</t>
    </r>
    <r>
      <rPr>
        <sz val="11"/>
        <color indexed="8"/>
        <rFont val="Arial"/>
        <family val="2"/>
      </rPr>
      <t xml:space="preserve"> size 1.35mm x 1.35 mm of with outer frame section with 62x38x2mm at 1.174 kg/m and the louvered with moving arrangements made with aluminium channel of size 60x30x4mm @ 1.274 kg/m ALuminium clips 19.05x17.27/ 11.05x0.075mm @ 0.169kg/m with necessary 4mm thick plain glass panel for louvers including cost of all materials, labour and power required for fabrications, chipping dismantling making holes in RCC column ,slab, masonry and made good to the original condition after fixing etc., complete. The Aluminium surface is to be anodised with matt finish under electrically controlled condition in accordance with ISI specification 1868/1962 for anodic film thickness of notless than 15 Microns,etc., complete.</t>
    </r>
    <r>
      <rPr>
        <b/>
        <sz val="11"/>
        <color indexed="8"/>
        <rFont val="Arial"/>
        <family val="2"/>
      </rPr>
      <t>1.80mm x 1.35 mm</t>
    </r>
  </si>
  <si>
    <t xml:space="preserve"> 6mm tk MDF Ply wood ( CER No.107-2012-13 DPO Thanjavur)</t>
  </si>
  <si>
    <t xml:space="preserve"> 4mm tk vennar ( CER No.107-2012-13 DPO Thanjavur)</t>
  </si>
  <si>
    <t xml:space="preserve">Melamin Polish </t>
  </si>
  <si>
    <t>labour charges</t>
  </si>
  <si>
    <t xml:space="preserve"> PVC  Roller for sliding ''it-75 ( rev SR-17-18)</t>
  </si>
  <si>
    <t xml:space="preserve">Rate For 9 Sqm </t>
  </si>
  <si>
    <t>Lock  for sliding ''it-70 ( rev SR-17-18)</t>
  </si>
  <si>
    <t xml:space="preserve">Say </t>
  </si>
  <si>
    <t>Rate Per Sqm</t>
  </si>
  <si>
    <t>Handle" D "type 100mm long ''it-80 c ( rev SR-17-18)</t>
  </si>
  <si>
    <t xml:space="preserve">Labour Charges </t>
  </si>
  <si>
    <t>FITTER  Ist Class</t>
  </si>
  <si>
    <t xml:space="preserve">DATA </t>
  </si>
  <si>
    <r>
      <t xml:space="preserve">ONE COAT OF WALL PATTY        </t>
    </r>
    <r>
      <rPr>
        <b/>
        <sz val="12"/>
        <rFont val="Arial"/>
        <family val="2"/>
      </rPr>
      <t xml:space="preserve"> CHENNAI CITY</t>
    </r>
  </si>
  <si>
    <t>PATTY  ( Qtn) 40 Kg= Rs .1050/40=26.25</t>
  </si>
  <si>
    <t>Vat 4 % (26.25+1.05 =27.30</t>
  </si>
  <si>
    <t>Painter - I st Class</t>
  </si>
  <si>
    <t>Providing Colour Marble Chips</t>
  </si>
  <si>
    <t>Qty</t>
  </si>
  <si>
    <t>Rate</t>
  </si>
  <si>
    <t>Amount</t>
  </si>
  <si>
    <t xml:space="preserve"> Cost of Colour Marble chips ( 84.4/0.0354)=2384.18 (P-36 it-11 )</t>
  </si>
  <si>
    <t>Colour Pigment</t>
  </si>
  <si>
    <t>Mazon  Ist Class</t>
  </si>
  <si>
    <t xml:space="preserve">THERMOCOAL FALSE CEILING ARRANGEMENTS </t>
  </si>
  <si>
    <t>Cost of Aluminium section</t>
  </si>
  <si>
    <t>Wastage 10% on Aluminium section</t>
  </si>
  <si>
    <t>MS Rod</t>
  </si>
  <si>
    <t>Wastage 5 % on MS Rod</t>
  </si>
  <si>
    <t>Cost of Thermocoal 20mm thick sheet</t>
  </si>
  <si>
    <t xml:space="preserve">Wastage 10 % </t>
  </si>
  <si>
    <t xml:space="preserve">Adjustable Screws </t>
  </si>
  <si>
    <t>MS Hooks</t>
  </si>
  <si>
    <t>Fitter Ist Class</t>
  </si>
  <si>
    <t>Carpenter  Ist Class</t>
  </si>
  <si>
    <t>Mazdoor Ist Class</t>
  </si>
  <si>
    <t>TOTAL FOR 18 SQM</t>
  </si>
  <si>
    <t>RATE PER SQ M</t>
  </si>
  <si>
    <t xml:space="preserve"> Revised  SR 2018-19</t>
  </si>
  <si>
    <t>Aluminium partition wall ( 1/3 Glass 5.5mm &amp; 2/3 novapan sheet 12mm thick</t>
  </si>
  <si>
    <t>Aluminium section 'it- 61 a( SR-16-17)</t>
  </si>
  <si>
    <t xml:space="preserve"> BRASS SCREWS ( 30x6mm)(An-VI -it-162 p-53</t>
  </si>
  <si>
    <t xml:space="preserve"> BRASS SCREWS (75x 10mm)(An-VI -it-163</t>
  </si>
  <si>
    <t xml:space="preserve"> Plug (An-VI -it-166</t>
  </si>
  <si>
    <t>Power Grapping it-173</t>
  </si>
  <si>
    <t>TOTAL FOR 6.615 SQM</t>
  </si>
  <si>
    <t xml:space="preserve">M.S VENTILATOR OF SIZE -1200 X 800mm ( 1 No ) </t>
  </si>
  <si>
    <t xml:space="preserve">ALROUND M.S FLAT OF SIZE 50 X 10mm      = 4.0 M X 3.9 Kg/Met </t>
  </si>
  <si>
    <t>SQUARE BARS OF SIZE 20 x 20mm               =11Nos X 0. 8M 3.14 Kg/Met</t>
  </si>
  <si>
    <t>M.S FLAT OF SIZE 25 X 6mm HORIZONTAL = 1 X 2 X1.200 x 1.2 Kg/Met</t>
  </si>
  <si>
    <t>VERTICAL                                                             = 1 X 3 X 0.80 X 1.2 Kg/Met</t>
  </si>
  <si>
    <t>ADD FOR WELLDING</t>
  </si>
  <si>
    <t xml:space="preserve">M.S VENTILATOR OF SIZE -1000 X 800mm ( 1 No ) </t>
  </si>
  <si>
    <t xml:space="preserve">ALROUND M.S FLAT OF SIZE 50 X 10mm      = 3.6 M X 3.9 Kg/Met </t>
  </si>
  <si>
    <t>SQUARE BARS OF SIZE 20 x 20mm               = 9Nos X 0. 8M 3.14 Kg/Met</t>
  </si>
  <si>
    <t>M.S FLAT OF SIZE 25 X 6mm HORIZONTAL = 1 X 2 X1.000 x 1.2 Kg/Met</t>
  </si>
  <si>
    <t xml:space="preserve">Old RCC Door frame </t>
  </si>
  <si>
    <r>
      <t xml:space="preserve">Satndardised cement Concrtet </t>
    </r>
    <r>
      <rPr>
        <b/>
        <sz val="12"/>
        <rFont val="Helv"/>
      </rPr>
      <t xml:space="preserve"> 1:1.5:3 </t>
    </r>
  </si>
  <si>
    <t xml:space="preserve">Cochin House Data </t>
  </si>
  <si>
    <t>Aluminium window openable 1.8x1.35m (Three leaves)</t>
  </si>
  <si>
    <t xml:space="preserve">Max hinges Qtn </t>
  </si>
  <si>
    <t xml:space="preserve">Rate per Sqm </t>
  </si>
  <si>
    <t>Aluminium window openable 1.35x1.35m (Two leaves)</t>
  </si>
  <si>
    <t>Max hinges</t>
  </si>
  <si>
    <t>TOTAL FOR 1.823 SQM</t>
  </si>
  <si>
    <t>Say Rs. Rate Per m2 =</t>
  </si>
  <si>
    <t>Aluminium window openable 1.35x1.05m  ( Two leaves)</t>
  </si>
  <si>
    <t>Aluminium window openable 1.20x1.35m  ( Two leaves)</t>
  </si>
  <si>
    <t>Max</t>
  </si>
  <si>
    <r>
      <rPr>
        <b/>
        <sz val="12"/>
        <rFont val="Arial"/>
        <family val="2"/>
      </rPr>
      <t>FRENCH WINDOW</t>
    </r>
    <r>
      <rPr>
        <sz val="12"/>
        <rFont val="Arial"/>
        <family val="2"/>
      </rPr>
      <t xml:space="preserve"> FOR DOOR OF SIZE</t>
    </r>
  </si>
  <si>
    <t>1.80 X 2.0M (3 bay openable )</t>
  </si>
  <si>
    <t>SHUTTER</t>
  </si>
  <si>
    <t>TW scantling styles (upto 2M) -3X2X1.90X0.075 x 0.0375</t>
  </si>
  <si>
    <t>TW scantling rails (above 2 M) -3X2X0.50X0.075 x 0.0375</t>
  </si>
  <si>
    <t>3X1.90X0.50</t>
  </si>
  <si>
    <t>4 MM THICK PIN HEADED GLASS</t>
  </si>
  <si>
    <t>3X1.775X0.375</t>
  </si>
  <si>
    <t>TW Decorative Beeding ( 15 x 12mm )</t>
  </si>
  <si>
    <t>3 [ 2 (1.775 + 0.375)]</t>
  </si>
  <si>
    <t xml:space="preserve">Main Data </t>
  </si>
  <si>
    <t>FOR Shutter</t>
  </si>
  <si>
    <t>T.W SCANTLING  upto 2M LONG</t>
  </si>
  <si>
    <t>TW  Beeding ( 15 x 12mm )</t>
  </si>
  <si>
    <t>Brass scrwew</t>
  </si>
  <si>
    <t xml:space="preserve">Total For 2.850 Sqm </t>
  </si>
  <si>
    <t>DETAILED ESTMIATE</t>
  </si>
  <si>
    <t>SL.NO.</t>
  </si>
  <si>
    <t>DESCRIPTION OF WORK</t>
  </si>
  <si>
    <t>L</t>
  </si>
  <si>
    <t>D</t>
  </si>
  <si>
    <t>ABSTRACT</t>
  </si>
  <si>
    <t>S.No.</t>
  </si>
  <si>
    <t>Description</t>
  </si>
  <si>
    <t>Labour welfare fund @ 1 %</t>
  </si>
  <si>
    <t>Supervision charges @ 7.5%</t>
  </si>
  <si>
    <t>Total Rs.</t>
  </si>
  <si>
    <t>`</t>
  </si>
  <si>
    <t xml:space="preserve">Dismantling RCC and clearing away from the site etc., </t>
  </si>
  <si>
    <t>m3</t>
  </si>
  <si>
    <t>m2</t>
  </si>
  <si>
    <t>Lock up Room 1</t>
  </si>
  <si>
    <t>Lock up Room 2</t>
  </si>
  <si>
    <t>Toilet Partition wall</t>
  </si>
  <si>
    <t>D/F Door</t>
  </si>
  <si>
    <t>D/F Ventilator</t>
  </si>
  <si>
    <t>Verandha area</t>
  </si>
  <si>
    <t>D/F Window</t>
  </si>
  <si>
    <t>Painting two coats for old wall Emulsion paint</t>
  </si>
  <si>
    <t>Building Alround</t>
  </si>
  <si>
    <t>Supplying and fixing of  4'-18w Tube ligt fittings inluding cost of fitting and labour charges etc.,CER. No.371/2018-19</t>
  </si>
  <si>
    <t>Prison Inner Toilet</t>
  </si>
  <si>
    <t>Prison Outer Toilet</t>
  </si>
  <si>
    <t>Water tank</t>
  </si>
  <si>
    <t xml:space="preserve">Supply and Fixing C.P tap 15 mm dia short body </t>
  </si>
  <si>
    <t>Supply and Fixing 15mm dia half turn CP tap (LONG BODY)</t>
  </si>
  <si>
    <t>Sump to water tank</t>
  </si>
  <si>
    <t xml:space="preserve">Supply and Fixing of 20mm dia PVC water supply ASTM pipe </t>
  </si>
  <si>
    <r>
      <rPr>
        <b/>
        <u/>
        <sz val="16"/>
        <color theme="1"/>
        <rFont val="Times New Roman"/>
        <family val="1"/>
      </rPr>
      <t>NAME OF WORK</t>
    </r>
    <r>
      <rPr>
        <b/>
        <sz val="16"/>
        <color theme="1"/>
        <rFont val="Times New Roman"/>
        <family val="1"/>
      </rPr>
      <t>: PROVIDING SPECIAL REPAIR WORK TO THE EXISTING SUB JAIL BUILDING AT GUDALUR IN THE NILGIRI DISTRICT</t>
    </r>
  </si>
  <si>
    <t xml:space="preserve">Painting Two coat of OBD over one coat white cement for inner walls </t>
  </si>
  <si>
    <t>Supply and Laying of Vitrified Tiles flooring (Ivory)</t>
  </si>
  <si>
    <t xml:space="preserve">Painting two coats for old iron works </t>
  </si>
  <si>
    <t>Main Door</t>
  </si>
  <si>
    <t xml:space="preserve">office room door </t>
  </si>
  <si>
    <t>Vistors room Door</t>
  </si>
  <si>
    <t>Lock up room</t>
  </si>
  <si>
    <t>Guard room Door</t>
  </si>
  <si>
    <t>Store room door</t>
  </si>
  <si>
    <t>Verandha door</t>
  </si>
  <si>
    <t>Out side door</t>
  </si>
  <si>
    <t>Doors</t>
  </si>
  <si>
    <t>Windows</t>
  </si>
  <si>
    <t>Grill window</t>
  </si>
  <si>
    <t>(2.65+2.00/2)</t>
  </si>
  <si>
    <t>Roof Grill</t>
  </si>
  <si>
    <t>Prison Building Back side</t>
  </si>
  <si>
    <t>Prison Building rear side</t>
  </si>
  <si>
    <t>Prison Building Front side</t>
  </si>
  <si>
    <t>Prison Building Right side</t>
  </si>
  <si>
    <t>Co-Eff</t>
  </si>
  <si>
    <t>scartings</t>
  </si>
  <si>
    <t>Scartings</t>
  </si>
  <si>
    <t>Plain  cement  concrete 1:5:10  mix  using  40 mm HBG  metal  for  foundation   including  all  cost  and conveyance  of  materials  and  all  labour  charges etc ., complete .</t>
  </si>
  <si>
    <t>Plastering  with c.m 1: 4 , 12 mm  thick  including all cost  and  conveyance  of  materials  and  all  labour charges  etc., complete</t>
  </si>
  <si>
    <t>Floor plastering in C.M. 1:4, 20 mm tk   thick  including all cost  and  conveyance  of  materials  and  all  labour charges  etc., complete</t>
  </si>
  <si>
    <t>Water tank Flooring</t>
  </si>
  <si>
    <t>Top Plastering</t>
  </si>
  <si>
    <t>x</t>
  </si>
  <si>
    <t>astm</t>
  </si>
  <si>
    <t>D/F ventilator</t>
  </si>
  <si>
    <t>Vistor Room back side</t>
  </si>
  <si>
    <t>Vistor Room front side</t>
  </si>
  <si>
    <t>Vistor Room rear side</t>
  </si>
  <si>
    <t>Toilet Room</t>
  </si>
  <si>
    <t>D/F Grill open</t>
  </si>
  <si>
    <t>ofice Room Back and frount side</t>
  </si>
  <si>
    <t>ofice Room Rear side</t>
  </si>
  <si>
    <t>Guard Room  back side</t>
  </si>
  <si>
    <t>Guard Room  frond side</t>
  </si>
  <si>
    <t>Guard Room Rear side</t>
  </si>
  <si>
    <t>Store Room back side</t>
  </si>
  <si>
    <t>Store Room Frond side</t>
  </si>
  <si>
    <t>Store Room Rear side</t>
  </si>
  <si>
    <t>office Room back side</t>
  </si>
  <si>
    <t>office Room Frond side</t>
  </si>
  <si>
    <t>office Room Rear side</t>
  </si>
  <si>
    <t>Toilet front wall</t>
  </si>
  <si>
    <t>Toilet Back side</t>
  </si>
  <si>
    <t>Toilet Rear side</t>
  </si>
  <si>
    <t>Bath area Rear side</t>
  </si>
  <si>
    <t>bath area  Back side</t>
  </si>
  <si>
    <t>bath area front wall</t>
  </si>
  <si>
    <t>Verandha area rear side</t>
  </si>
  <si>
    <t>Verandha area left side</t>
  </si>
  <si>
    <t>Verandha area right side</t>
  </si>
  <si>
    <t>Verandha area outside</t>
  </si>
  <si>
    <t>D/F brick piller</t>
  </si>
  <si>
    <t>Add For Brick piller</t>
  </si>
  <si>
    <t>office room wall outside</t>
  </si>
  <si>
    <t>D/F window</t>
  </si>
  <si>
    <t>office room wall rear side</t>
  </si>
  <si>
    <t>verandha to kitchen side alround</t>
  </si>
  <si>
    <t>kitchen wall outside</t>
  </si>
  <si>
    <t xml:space="preserve">rear side of kitchen </t>
  </si>
  <si>
    <t>women Prison outer and office room portion wall</t>
  </si>
  <si>
    <t>Removing and re roofing with old existing mangalore tiles including cost of C.W Reepers with nail etc., complete.</t>
  </si>
  <si>
    <t>Guard room area</t>
  </si>
  <si>
    <t>Lock up room , office room and Visters room</t>
  </si>
  <si>
    <t>Supplying and fixing of GI Sheet for roof including all cost of materials and labour charges</t>
  </si>
  <si>
    <t>office room, Guard Room and Visters area</t>
  </si>
  <si>
    <t>Supplying of New Mangalore tiles of best quality including cost of materials and conveyance etc., complete and as directed by the departmental officers.</t>
  </si>
  <si>
    <t>Kitchen outside wall</t>
  </si>
  <si>
    <t>Store room outside</t>
  </si>
  <si>
    <t xml:space="preserve">Supplying and fixing of 100W LED rain proof IP65 Grade liquid &amp; Fitting inclduing Labour charge  (Flood Lamp)                 </t>
  </si>
  <si>
    <t xml:space="preserve">S &amp; F of Indian Water closet white glazed (Oriya type) of size 580 x 440mm  - in G.F.  </t>
  </si>
  <si>
    <t>Manufacturing &amp; supply of steel windows (Weight basis)</t>
  </si>
  <si>
    <t xml:space="preserve">Window </t>
  </si>
  <si>
    <t>Total (Kg)</t>
  </si>
  <si>
    <t>Prison inner Toilet Area</t>
  </si>
  <si>
    <t>D/F Water Closet</t>
  </si>
  <si>
    <t>Removing the damaged Window  shutter fixing with new country wood window shutter with 4mm thick with plain glass including labour charges.</t>
  </si>
  <si>
    <t>Prison Back Side Wall</t>
  </si>
  <si>
    <t>Women Prison and Damaged Building Cross wall</t>
  </si>
  <si>
    <t>Plastering  with c.m 1: 5 , 12 mm  thick  including all cost  and  conveyance  of  materials  and  all  labour charges  etc., complete</t>
  </si>
  <si>
    <t>============================================================</t>
  </si>
  <si>
    <t>GUDALUR - OOTY</t>
  </si>
  <si>
    <t>2022 - 2023.</t>
  </si>
  <si>
    <t>PAINTING TWO COATS OVER NEW           (as per PWD Standard Data)</t>
  </si>
  <si>
    <t>OBD p-45 im 140</t>
  </si>
  <si>
    <t>PAINTING TWO COATS OVER NEW             (as per CER-112/2007-08)</t>
  </si>
  <si>
    <t>Plastic Emulsion PAINT  ( PWD SR p-45 143( First qty</t>
  </si>
  <si>
    <t>Primer     (LMR item 142) p45</t>
  </si>
  <si>
    <t xml:space="preserve">110MM DIA OF PVC SWR PIPE INCLUDING </t>
  </si>
  <si>
    <t>Shellac p-49/168</t>
  </si>
  <si>
    <t>Thread ball p-49/173</t>
  </si>
  <si>
    <t xml:space="preserve">COST OF Vertified TILES </t>
  </si>
  <si>
    <t>Brick partition wall in cm 1:4 (One of cement and five of sand) using fly ash bricks of size 23x11.4x7.5Cm In G.F.</t>
  </si>
  <si>
    <t>Steel grill for Verandah Enclousure PWD SR p20/ Item 138/131</t>
  </si>
  <si>
    <t>Roofing with New Galvanized corrugated roofing sheet with necessary GI bolts and nuts including fixing in position etc., complete</t>
  </si>
  <si>
    <t>Carpenter - I class</t>
  </si>
  <si>
    <t>TOTAL FOR 6 SQM</t>
  </si>
  <si>
    <t>Removing and re roofing with old existing mangalore tiles including cost of country wood reepers 2" x1" and lime mortar border etc., complete complying with relevant standar specification.</t>
  </si>
  <si>
    <t>Removing Mangalore Tiles</t>
  </si>
  <si>
    <t>Cost of country wood reepers 2" x 1"</t>
  </si>
  <si>
    <t>Nails</t>
  </si>
  <si>
    <t>cement mortar 1:2</t>
  </si>
  <si>
    <t>Galvanized corrugated roofing sheet(PWD SR Pg.No-38 item No.66</t>
  </si>
  <si>
    <t>Bolt  &amp;  Nuts(PWD SR Pg.No-38 item No.81</t>
  </si>
  <si>
    <t>WATER TIGHT BULK HEAD FITTING suitable for 15W LED bulb</t>
  </si>
  <si>
    <t>Supplying and fixing of water tight bulk head fittings with guard suitable for 60 / 100 watts including necessary connections, cost of materials, etc., All complete.</t>
  </si>
  <si>
    <t>Bulk head fittings P-116 it-26</t>
  </si>
  <si>
    <t>Total For 1 No</t>
  </si>
  <si>
    <t>Labour Charges Data</t>
  </si>
  <si>
    <t>Wiremen Grade II</t>
  </si>
  <si>
    <t xml:space="preserve">Helper </t>
  </si>
  <si>
    <t>Total for 15 Nos</t>
  </si>
  <si>
    <t>Rate for 1 No</t>
  </si>
  <si>
    <t>Over Kitchen roof Water Tank</t>
  </si>
  <si>
    <t>Guard room,store room and office room area</t>
  </si>
  <si>
    <t>say</t>
  </si>
  <si>
    <t>m4</t>
  </si>
  <si>
    <t>Supplying of New Mangalore ridge tiles of best quality including cost of materials and conveyance etc., complete and as directed by the departmental officers.</t>
  </si>
  <si>
    <t xml:space="preserve">Supply and Fixing of Galvanium Sheet with steel structure Including cost of labours and Materials etc..,Completed </t>
  </si>
  <si>
    <t>over  Lockup 6 &amp; 7 roof</t>
  </si>
  <si>
    <t>over  women Lockup roof</t>
  </si>
  <si>
    <t xml:space="preserve">Office room damaged wooden window </t>
  </si>
  <si>
    <t xml:space="preserve"> MS ventilator of size 900 x 600 mm
</t>
  </si>
  <si>
    <t xml:space="preserve">  Lockup 6 &amp; 7 </t>
  </si>
  <si>
    <t xml:space="preserve">  Lockup 6 &amp; 7  ventilator</t>
  </si>
  <si>
    <t>Inspection chamber</t>
  </si>
  <si>
    <t>Rear side drianage</t>
  </si>
  <si>
    <t>Prision ventilator closing area</t>
  </si>
  <si>
    <t>Lock up 6&amp;7 rear side</t>
  </si>
  <si>
    <t>Bldg rear drainage</t>
  </si>
  <si>
    <t>Women Prison verandha wall</t>
  </si>
  <si>
    <t>Inspection chamber inside allround</t>
  </si>
  <si>
    <t>Water Tank Wall Inner Alround</t>
  </si>
  <si>
    <t>Water Tank Wall outer Alround</t>
  </si>
  <si>
    <t>Rear side drianage top</t>
  </si>
  <si>
    <t>Prison lock up 4,6,&amp;7</t>
  </si>
  <si>
    <t xml:space="preserve">Supplying and fixing of  PVC Nahani trap (4way/2way) including cost of materials and labours etc.., completed </t>
  </si>
  <si>
    <t>Supply and laying of SWR Pipes including cost of materials and labours etc.., completed  110 mm dia Pipe</t>
  </si>
  <si>
    <t>Supplying and fixing of UPVC rain water gutter with specials ,clambs and labour charges etc.,</t>
  </si>
  <si>
    <t>Prison lock up 6,&amp;7</t>
  </si>
  <si>
    <t>Supplying and fixing of PVC SWR 110 mm dia with ISI mark type- A for Rain water down fall pipe</t>
  </si>
  <si>
    <t>UPVC Non Pressure  pipe of SN8 SDR 34
( S 16.5) as per IS 15328/2003</t>
  </si>
  <si>
    <t>a. 110 mm UPVC Non Pressure  pipe</t>
  </si>
  <si>
    <t>Soil waste pipe line</t>
  </si>
  <si>
    <t>Prison Outer Toilet area</t>
  </si>
  <si>
    <t>Supplying and fixing of Glazed tiles using Grout (Tile Joint Filler)</t>
  </si>
  <si>
    <t>Supplying and fixing of Floor ceramic tiles (Anti-skid) using Grout (Tile Joint Filler).</t>
  </si>
  <si>
    <t>D/F door</t>
  </si>
  <si>
    <t>Lock up Verandha area</t>
  </si>
  <si>
    <t xml:space="preserve">Office room,guard room,computer room </t>
  </si>
  <si>
    <t>Front area,toilet area</t>
  </si>
  <si>
    <t>Supplying and fixing for LED Lighting arrangements  ( a) 15w bulb</t>
  </si>
  <si>
    <t xml:space="preserve">Supplying and fixing of water tight bulk head fittings with guard suitable for LED bulbs including necessary connections, cost of materials, etc., All complete. </t>
  </si>
  <si>
    <t xml:space="preserve">Verandha area,Office room,guard room,computer room </t>
  </si>
  <si>
    <t>Wiring with 1.5 sqmm PVC insulated single core multi strand fire retardant flexible copper cable with ISI mark confirming IS: 694:1990.( Ordinary)</t>
  </si>
  <si>
    <t>a. Light point with ceiling rose</t>
  </si>
  <si>
    <t>b. Light point without ceiling rose</t>
  </si>
  <si>
    <t>Wiring with 1.5 sqmm PVC insulated single core multi strand fire retardant flexible copper cable with ISI mark confirming IS: 694:1990 for Fan point.</t>
  </si>
  <si>
    <t>Prison lock up 1 to 7</t>
  </si>
  <si>
    <t>Office room and guard room</t>
  </si>
  <si>
    <t>Supply and delivery of  48" (1200 mm) Fan with ISI mark with Eletronic Dimmer</t>
  </si>
  <si>
    <t>Verandha area front and rear Wall</t>
  </si>
  <si>
    <t>Verandha area Ridge wall</t>
  </si>
  <si>
    <t>Lock up Room 1 ,2 &amp;3</t>
  </si>
  <si>
    <t>Front  and Rear wall</t>
  </si>
  <si>
    <t>L/S and R/S Wall</t>
  </si>
  <si>
    <t>(3.80+5.00)/2</t>
  </si>
  <si>
    <t>Lock up Room 4&amp;5</t>
  </si>
  <si>
    <t>Lock up Room 6&amp;7</t>
  </si>
  <si>
    <t>Lock up Room allround</t>
  </si>
  <si>
    <t>women Prison uoter wall</t>
  </si>
  <si>
    <t>Verandha roofing G.I sheet</t>
  </si>
  <si>
    <t>Office room roofing G.I sheet</t>
  </si>
  <si>
    <t xml:space="preserve">Painting two coats for new iron works </t>
  </si>
  <si>
    <t>Office room Window (fully M.S sheet)</t>
  </si>
  <si>
    <t xml:space="preserve"> Lockup 6 &amp; 7  ventilator</t>
  </si>
  <si>
    <t>B.W IN C.M(1:6)using fly ash bricks of size 23x11.4x7.5Cm  In G.F</t>
  </si>
  <si>
    <t>B.W IN C.M(1:5)using fly ash bricks of size 23x11.4x7.5Cm  In foundation and basement</t>
  </si>
  <si>
    <t xml:space="preserve">Supply &amp; Fixing of MS ventilator of size ( lockup)
</t>
  </si>
  <si>
    <r>
      <t>Dismantling RCC and clearing away from the site etc., (</t>
    </r>
    <r>
      <rPr>
        <b/>
        <sz val="14"/>
        <color theme="1"/>
        <rFont val="Times New Roman"/>
        <family val="1"/>
      </rPr>
      <t xml:space="preserve">PWD SOR Page No.22 item No.38)  </t>
    </r>
  </si>
  <si>
    <r>
      <t>Supplying of New Mangalore tiles of best quality including cost of materials and conveyance etc., complete and as directed by the departmental officers.</t>
    </r>
    <r>
      <rPr>
        <b/>
        <sz val="14"/>
        <color theme="1"/>
        <rFont val="Times New Roman"/>
        <family val="1"/>
      </rPr>
      <t xml:space="preserve">(PWD SOR Page No.15 item No.22(b))  </t>
    </r>
  </si>
  <si>
    <r>
      <t>Supplying of New Mangalore ridge tiles of best quality including cost of materials and conveyance etc., complete and as directed by the departmental officers.</t>
    </r>
    <r>
      <rPr>
        <b/>
        <sz val="14"/>
        <color theme="1"/>
        <rFont val="Times New Roman"/>
        <family val="1"/>
      </rPr>
      <t xml:space="preserve">(PWD SOR Page No.15 item No.24(c))  </t>
    </r>
  </si>
  <si>
    <r>
      <t>Supply and Fixing of Galvanium Sheet with steel structure Including cost of labours and Materials etc..,Completed</t>
    </r>
    <r>
      <rPr>
        <b/>
        <sz val="14"/>
        <rFont val="Times New Roman"/>
        <family val="1"/>
      </rPr>
      <t xml:space="preserve"> (Quatation)</t>
    </r>
  </si>
  <si>
    <r>
      <t>Removing the damaged Window  including labour charges.</t>
    </r>
    <r>
      <rPr>
        <b/>
        <sz val="14"/>
        <rFont val="Times New Roman"/>
        <family val="1"/>
      </rPr>
      <t xml:space="preserve">(PWD SOR Page No.22 item No.29)  </t>
    </r>
  </si>
  <si>
    <t xml:space="preserve">Supply &amp; Fixing of MS ventilator of size           ( lockup) MS ventilator of size 900 x 600 
</t>
  </si>
  <si>
    <r>
      <t xml:space="preserve">B.W IN C.M(1:5)using fly ash bricks of size 23x11.4x7.5Cm  </t>
    </r>
    <r>
      <rPr>
        <b/>
        <sz val="14"/>
        <rFont val="Times New Roman"/>
        <family val="1"/>
      </rPr>
      <t>In foundation and basement</t>
    </r>
  </si>
  <si>
    <r>
      <t xml:space="preserve">B.W IN C.M(1:6)using fly ash bricks of size 23x11.4x7.5Cm  </t>
    </r>
    <r>
      <rPr>
        <b/>
        <sz val="14"/>
        <rFont val="Times New Roman"/>
        <family val="1"/>
      </rPr>
      <t>In G.F</t>
    </r>
  </si>
  <si>
    <r>
      <t xml:space="preserve">Brick partition wall in cm 1:4 (One of cement and five of sand) using fly ash bricks of size 23x11.4x7.5Cm </t>
    </r>
    <r>
      <rPr>
        <b/>
        <sz val="14"/>
        <rFont val="Times New Roman"/>
        <family val="1"/>
      </rPr>
      <t>In G.F.</t>
    </r>
  </si>
  <si>
    <t xml:space="preserve">Supply and Fixing of 25mm dia PVC water supply ASTM pipe </t>
  </si>
  <si>
    <r>
      <t xml:space="preserve">S &amp; F of Indian Water closet white glazed (Oriya type) of size 580 x 440mm - </t>
    </r>
    <r>
      <rPr>
        <b/>
        <sz val="14"/>
        <rFont val="Times New Roman"/>
        <family val="1"/>
      </rPr>
      <t>In G.F.</t>
    </r>
    <r>
      <rPr>
        <sz val="14"/>
        <rFont val="Times New Roman"/>
        <family val="1"/>
      </rPr>
      <t xml:space="preserve">  </t>
    </r>
  </si>
  <si>
    <t>OBSERVED DATA</t>
  </si>
  <si>
    <t>Supplying and fixing of UPVC Rain Water  gutter of size 6" (160mm) dia</t>
  </si>
  <si>
    <t xml:space="preserve"> UPVC Rain Water  gutter of size 6" (160mm) dia</t>
  </si>
  <si>
    <t>Clamps &amp; Screws</t>
  </si>
  <si>
    <t>Fitter I Class</t>
  </si>
  <si>
    <t>UPVC End cap</t>
  </si>
  <si>
    <t>UPVC dropper</t>
  </si>
  <si>
    <t>UPVC Joint</t>
  </si>
  <si>
    <t>Sundrise</t>
  </si>
  <si>
    <t>10 per RMT</t>
  </si>
  <si>
    <t>1 per RMT</t>
  </si>
  <si>
    <t>DOWN FALL PIPE    Type- A  SWR pipe</t>
  </si>
  <si>
    <t>Cost of UPVC SN8 Pipe (TWAD SR 2020-21 P-20 1.2 1)</t>
  </si>
  <si>
    <r>
      <t xml:space="preserve">Supplying and fixing of 100W LED rain proof IP65 Grade liquid &amp; Fitting inclduing Labour charge  (Flood Lamp) </t>
    </r>
    <r>
      <rPr>
        <b/>
        <sz val="14"/>
        <rFont val="Times New Roman"/>
        <family val="1"/>
      </rPr>
      <t xml:space="preserve"> (PWD SOR Page No.115 item No.19(c))               </t>
    </r>
    <r>
      <rPr>
        <sz val="14"/>
        <rFont val="Times New Roman"/>
        <family val="1"/>
      </rPr>
      <t xml:space="preserve">   </t>
    </r>
  </si>
  <si>
    <r>
      <t xml:space="preserve">Supplying and fixing for LED Lighting arrangements  </t>
    </r>
    <r>
      <rPr>
        <b/>
        <sz val="14"/>
        <rFont val="Times New Roman"/>
        <family val="1"/>
      </rPr>
      <t xml:space="preserve">( a) 15w bulb (PWD SOR Page No.115 item No.15(j))  </t>
    </r>
    <r>
      <rPr>
        <sz val="14"/>
        <rFont val="Times New Roman"/>
        <family val="1"/>
      </rPr>
      <t xml:space="preserve">                </t>
    </r>
  </si>
  <si>
    <t>OPEN WIRING IN PVC PIPE</t>
  </si>
  <si>
    <t>Open wiring for Light point with ceiling rose for flats/ houses</t>
  </si>
  <si>
    <t>1.5 sqmm copper PVC insulated unsheathed single core cable</t>
  </si>
  <si>
    <t xml:space="preserve"> Rmt</t>
  </si>
  <si>
    <t>PVC rigid conduit pipe 19 mm / 20mm heavy duty with ISI mark</t>
  </si>
  <si>
    <t>19 mm PVC rigid bends</t>
  </si>
  <si>
    <t>Tw Plugs (p 91 p J e)</t>
  </si>
  <si>
    <t>1000 nos</t>
  </si>
  <si>
    <t>19 mm PVC rigid tees</t>
  </si>
  <si>
    <t xml:space="preserve">PVC joint box ( Part- I ,p 129  6b) </t>
  </si>
  <si>
    <t>Dozen</t>
  </si>
  <si>
    <t xml:space="preserve">Hylem sheet 3 mm thick with lamination </t>
  </si>
  <si>
    <t>5 amps flush type switch</t>
  </si>
  <si>
    <t>Ceiling rose</t>
  </si>
  <si>
    <t>Gross</t>
  </si>
  <si>
    <t>Brass screws 40mm p 130 L 1c</t>
  </si>
  <si>
    <t>19 mm MS clamp</t>
  </si>
  <si>
    <t>Bag</t>
  </si>
  <si>
    <t>TW switch  box  100 x 100 x 75 mm p 130 jd</t>
  </si>
  <si>
    <t>TW junction  box  150 x 100 x 75 mm p-130 j c</t>
  </si>
  <si>
    <t>3 mm thick laminated Hylem sheet (10X0.1X0.1)</t>
  </si>
  <si>
    <t>1.5 sqmm copper PVC insulated unsheathed single core cable for continuous earth connection</t>
  </si>
  <si>
    <t>90 Rmt</t>
  </si>
  <si>
    <t>Paint SEP p-44 it-117</t>
  </si>
  <si>
    <t>Points</t>
  </si>
  <si>
    <t>Sundries 1% on materials</t>
  </si>
  <si>
    <t>Total for 10 Points</t>
  </si>
  <si>
    <t>Rate for 1 Point</t>
  </si>
  <si>
    <t>Labour Charges for wirnig in PVC pipe concealed</t>
  </si>
  <si>
    <t>Sub - data</t>
  </si>
  <si>
    <t>Maistry</t>
  </si>
  <si>
    <t>Wiremen Grade  - I</t>
  </si>
  <si>
    <t>Wiremen Grade  - II</t>
  </si>
  <si>
    <t>Helper</t>
  </si>
  <si>
    <t>Light point with bakelite batern type holder for flats/ houses(Open wiring)</t>
  </si>
  <si>
    <t xml:space="preserve">Total for Data 1 excluding sundries </t>
  </si>
  <si>
    <t>Deduct cost of ceiling rose 10 Nos</t>
  </si>
  <si>
    <t>Add cost of Bakelite battern type holders 10 Nos @ Rs 16.65 / Each p-116,  it-25</t>
  </si>
  <si>
    <t>Total for 10 points</t>
  </si>
  <si>
    <t>Rate for 1 points</t>
  </si>
  <si>
    <t>Deduct cost of TW Box 10X10x7.5cm</t>
  </si>
  <si>
    <t>Deduct cost of Hylem sheet</t>
  </si>
  <si>
    <t>Add cost of TW box 12" x 8" x3" for switch and regulator 10 nos  @ Rs 69.90 / Each p-130 ,part  J a</t>
  </si>
  <si>
    <t>Hylem sheet 0.60 Sq m@ 630/Sq m p-130  ,7 a</t>
  </si>
  <si>
    <t>Add Sundries 1%</t>
  </si>
  <si>
    <t>SUPPLY AND DELIVERY OF FAN 48"SWEEP with Electronic Regulator step dimmer.</t>
  </si>
  <si>
    <t>GST @ 18 %</t>
  </si>
  <si>
    <t xml:space="preserve">Painting two coats for old wood works </t>
  </si>
  <si>
    <t>Verandha rafter</t>
  </si>
  <si>
    <t>Verandha Purline</t>
  </si>
  <si>
    <t xml:space="preserve">Sub-Total I                            </t>
  </si>
  <si>
    <t xml:space="preserve">Sub-Total II                          </t>
  </si>
  <si>
    <t xml:space="preserve">TOTAL </t>
  </si>
  <si>
    <r>
      <t xml:space="preserve">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t>
    </r>
    <r>
      <rPr>
        <b/>
        <sz val="12"/>
        <color theme="1"/>
        <rFont val="Times New Roman"/>
        <family val="1"/>
      </rPr>
      <t>LIGHT POINT WITH CEILING ROSE</t>
    </r>
    <r>
      <rPr>
        <sz val="12"/>
        <color theme="1"/>
        <rFont val="Times New Roman"/>
        <family val="1"/>
      </rPr>
      <t xml:space="preserve"> controlled by 5 amps flush type switch including citcuit mains, cost of all materials, specials, etc., all complete,(Open wiring)</t>
    </r>
  </si>
  <si>
    <r>
      <t xml:space="preserve">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t>
    </r>
    <r>
      <rPr>
        <b/>
        <sz val="12"/>
        <color theme="1"/>
        <rFont val="Times New Roman"/>
        <family val="1"/>
      </rPr>
      <t xml:space="preserve">LIGHT POINT WITH BAKELITE BATTERN TYPE HOLDER FOR FLATS/ HOUSES  </t>
    </r>
    <r>
      <rPr>
        <sz val="12"/>
        <color theme="1"/>
        <rFont val="Times New Roman"/>
        <family val="1"/>
      </rPr>
      <t>controlled by 5 amps flush type switch including citcuit mains, cost of all materials, specials, etc., all complete,</t>
    </r>
  </si>
  <si>
    <r>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t>
    </r>
    <r>
      <rPr>
        <b/>
        <sz val="12"/>
        <color theme="1"/>
        <rFont val="Times New Roman"/>
        <family val="1"/>
      </rPr>
      <t xml:space="preserve"> FAN POINT</t>
    </r>
    <r>
      <rPr>
        <sz val="12"/>
        <color theme="1"/>
        <rFont val="Times New Roman"/>
        <family val="1"/>
      </rPr>
      <t xml:space="preserve"> controlled by 5 amps flush type switch including citcuit mains, cost of all materials, specials, etc., all complete,</t>
    </r>
    <r>
      <rPr>
        <b/>
        <sz val="12"/>
        <color theme="1"/>
        <rFont val="Times New Roman"/>
        <family val="1"/>
      </rPr>
      <t>(Open wiring)</t>
    </r>
  </si>
  <si>
    <t>Spl. Ceiling plastering in C.M. 1:3,10 mm tk.</t>
  </si>
  <si>
    <t>Lock up 6 &amp;7 ceiling</t>
  </si>
  <si>
    <t>Verandha ceiling</t>
  </si>
  <si>
    <t>Chipping  of concrete and roughening the surfaceand clearing away from the site</t>
  </si>
  <si>
    <r>
      <t xml:space="preserve">Chipping  of concrete and roughening the surface and clearing away from the site </t>
    </r>
    <r>
      <rPr>
        <b/>
        <sz val="14"/>
        <rFont val="Times New Roman"/>
        <family val="1"/>
      </rPr>
      <t xml:space="preserve">(PWD SOR Page No.22 item No.38(A))     </t>
    </r>
  </si>
</sst>
</file>

<file path=xl/styles.xml><?xml version="1.0" encoding="utf-8"?>
<styleSheet xmlns="http://schemas.openxmlformats.org/spreadsheetml/2006/main">
  <numFmts count="11">
    <numFmt numFmtId="43" formatCode="_(* #,##0.00_);_(* \(#,##0.00\);_(* &quot;-&quot;??_);_(@_)"/>
    <numFmt numFmtId="164" formatCode="0.00_)"/>
    <numFmt numFmtId="165" formatCode="0.000_)"/>
    <numFmt numFmtId="166" formatCode="0_)"/>
    <numFmt numFmtId="167" formatCode="0.0_)"/>
    <numFmt numFmtId="168" formatCode="0.00000_)"/>
    <numFmt numFmtId="169" formatCode="0.0000_)"/>
    <numFmt numFmtId="170" formatCode="0.000000_)"/>
    <numFmt numFmtId="171" formatCode="0.00000000_)"/>
    <numFmt numFmtId="172" formatCode="0.0"/>
    <numFmt numFmtId="173" formatCode="0.000"/>
  </numFmts>
  <fonts count="117">
    <font>
      <sz val="11"/>
      <color theme="1"/>
      <name val="Calibri"/>
      <family val="2"/>
      <charset val="1"/>
      <scheme val="minor"/>
    </font>
    <font>
      <sz val="11"/>
      <color theme="1"/>
      <name val="Calibri"/>
      <family val="2"/>
      <scheme val="minor"/>
    </font>
    <font>
      <sz val="10"/>
      <name val="Arial"/>
      <family val="2"/>
    </font>
    <font>
      <b/>
      <sz val="10"/>
      <name val="Arial"/>
      <family val="2"/>
    </font>
    <font>
      <b/>
      <sz val="9"/>
      <name val="Arial"/>
      <family val="2"/>
    </font>
    <font>
      <sz val="10"/>
      <color indexed="10"/>
      <name val="Arial"/>
      <family val="2"/>
    </font>
    <font>
      <sz val="10"/>
      <color rgb="FFFF0000"/>
      <name val="Arial"/>
      <family val="2"/>
    </font>
    <font>
      <sz val="8"/>
      <name val="Arial"/>
      <family val="2"/>
    </font>
    <font>
      <sz val="12"/>
      <name val="Helv"/>
    </font>
    <font>
      <b/>
      <sz val="12"/>
      <name val="Helv"/>
    </font>
    <font>
      <b/>
      <sz val="16"/>
      <name val="Helv"/>
      <family val="2"/>
    </font>
    <font>
      <b/>
      <sz val="11"/>
      <name val="Helv"/>
    </font>
    <font>
      <sz val="12"/>
      <color indexed="10"/>
      <name val="Helv"/>
    </font>
    <font>
      <sz val="12"/>
      <color rgb="FFFF0000"/>
      <name val="Helv"/>
    </font>
    <font>
      <sz val="12"/>
      <color indexed="8"/>
      <name val="Helv"/>
    </font>
    <font>
      <b/>
      <sz val="12"/>
      <color rgb="FFFF0000"/>
      <name val="Helv"/>
    </font>
    <font>
      <sz val="12"/>
      <color indexed="15"/>
      <name val="Helv"/>
    </font>
    <font>
      <sz val="11"/>
      <name val="Helv"/>
    </font>
    <font>
      <b/>
      <sz val="12"/>
      <color indexed="10"/>
      <name val="Helv"/>
    </font>
    <font>
      <sz val="12"/>
      <color rgb="FF7030A0"/>
      <name val="Helv"/>
    </font>
    <font>
      <sz val="12"/>
      <color indexed="14"/>
      <name val="Helv"/>
    </font>
    <font>
      <sz val="12"/>
      <color theme="5" tint="-0.249977111117893"/>
      <name val="Helv"/>
    </font>
    <font>
      <sz val="12"/>
      <color rgb="FFFFFF00"/>
      <name val="Helv"/>
    </font>
    <font>
      <sz val="12"/>
      <color rgb="FF0070C0"/>
      <name val="Helv"/>
    </font>
    <font>
      <sz val="12"/>
      <color theme="3" tint="0.39997558519241921"/>
      <name val="Helv"/>
    </font>
    <font>
      <sz val="12"/>
      <color indexed="11"/>
      <name val="Helv"/>
    </font>
    <font>
      <sz val="12"/>
      <color indexed="13"/>
      <name val="Helv"/>
    </font>
    <font>
      <sz val="12"/>
      <color theme="9" tint="0.59999389629810485"/>
      <name val="Helv"/>
    </font>
    <font>
      <sz val="12"/>
      <color rgb="FF92D050"/>
      <name val="Helv"/>
    </font>
    <font>
      <b/>
      <sz val="12"/>
      <color indexed="8"/>
      <name val="Helv"/>
    </font>
    <font>
      <sz val="20"/>
      <name val="Helv"/>
    </font>
    <font>
      <b/>
      <sz val="20"/>
      <name val="Helv"/>
    </font>
    <font>
      <b/>
      <sz val="12"/>
      <color theme="0"/>
      <name val="Helv"/>
    </font>
    <font>
      <b/>
      <sz val="12"/>
      <color indexed="13"/>
      <name val="Helv"/>
    </font>
    <font>
      <sz val="12"/>
      <color indexed="12"/>
      <name val="Helv"/>
    </font>
    <font>
      <sz val="11"/>
      <name val="Calibri"/>
    </font>
    <font>
      <sz val="12"/>
      <color rgb="FF00B0F0"/>
      <name val="Helv"/>
    </font>
    <font>
      <sz val="12"/>
      <color indexed="16"/>
      <name val="Helv"/>
    </font>
    <font>
      <b/>
      <sz val="15"/>
      <color indexed="12"/>
      <name val="Helv"/>
    </font>
    <font>
      <b/>
      <sz val="15"/>
      <name val="Helv"/>
    </font>
    <font>
      <sz val="12"/>
      <color indexed="57"/>
      <name val="Helv"/>
    </font>
    <font>
      <b/>
      <sz val="12"/>
      <color rgb="FFFFFF00"/>
      <name val="Helv"/>
    </font>
    <font>
      <sz val="12"/>
      <color rgb="FFC00000"/>
      <name val="Helv"/>
    </font>
    <font>
      <b/>
      <sz val="12"/>
      <color indexed="12"/>
      <name val="Helv"/>
    </font>
    <font>
      <b/>
      <sz val="14"/>
      <name val="Helv"/>
    </font>
    <font>
      <sz val="12"/>
      <color theme="5"/>
      <name val="Helv"/>
    </font>
    <font>
      <sz val="16"/>
      <name val="Helv"/>
    </font>
    <font>
      <b/>
      <sz val="16"/>
      <name val="Helv"/>
    </font>
    <font>
      <sz val="16"/>
      <color indexed="16"/>
      <name val="Helv"/>
    </font>
    <font>
      <sz val="16"/>
      <color rgb="FFFFFF00"/>
      <name val="Helv"/>
    </font>
    <font>
      <b/>
      <sz val="16"/>
      <color indexed="13"/>
      <name val="Helv"/>
    </font>
    <font>
      <sz val="12"/>
      <name val="Arial"/>
      <family val="2"/>
    </font>
    <font>
      <sz val="12"/>
      <color theme="7" tint="-0.249977111117893"/>
      <name val="Helv"/>
    </font>
    <font>
      <sz val="13"/>
      <name val="Arial"/>
      <family val="2"/>
    </font>
    <font>
      <b/>
      <sz val="13"/>
      <name val="Arial"/>
      <family val="2"/>
    </font>
    <font>
      <sz val="12"/>
      <color indexed="9"/>
      <name val="Helv"/>
    </font>
    <font>
      <b/>
      <sz val="12"/>
      <name val="Helv"/>
      <family val="2"/>
    </font>
    <font>
      <sz val="12"/>
      <color theme="0"/>
      <name val="Helv"/>
    </font>
    <font>
      <sz val="14"/>
      <name val="Arial"/>
      <family val="2"/>
    </font>
    <font>
      <b/>
      <sz val="14"/>
      <name val="Arial"/>
      <family val="2"/>
    </font>
    <font>
      <sz val="12"/>
      <color theme="8" tint="-0.249977111117893"/>
      <name val="Helv"/>
    </font>
    <font>
      <b/>
      <sz val="12"/>
      <name val="Arial"/>
      <family val="2"/>
    </font>
    <font>
      <sz val="11"/>
      <color indexed="57"/>
      <name val="Helv"/>
    </font>
    <font>
      <sz val="12"/>
      <color rgb="FFFFFF00"/>
      <name val="Arial"/>
      <family val="2"/>
    </font>
    <font>
      <sz val="12"/>
      <color theme="1"/>
      <name val="Arial"/>
      <family val="2"/>
    </font>
    <font>
      <sz val="12"/>
      <color indexed="12"/>
      <name val="Arial"/>
      <family val="2"/>
    </font>
    <font>
      <sz val="12"/>
      <color indexed="10"/>
      <name val="Arial"/>
      <family val="2"/>
    </font>
    <font>
      <sz val="12"/>
      <color indexed="13"/>
      <name val="Arial"/>
      <family val="2"/>
    </font>
    <font>
      <sz val="11"/>
      <color indexed="10"/>
      <name val="Helv"/>
    </font>
    <font>
      <sz val="12"/>
      <color theme="1"/>
      <name val="Helv"/>
    </font>
    <font>
      <sz val="11"/>
      <color rgb="FFC00000"/>
      <name val="Helv"/>
    </font>
    <font>
      <sz val="11"/>
      <color rgb="FFFFFF00"/>
      <name val="Helv"/>
    </font>
    <font>
      <b/>
      <sz val="12"/>
      <color theme="1"/>
      <name val="Helv"/>
    </font>
    <font>
      <sz val="12"/>
      <color theme="1" tint="4.9989318521683403E-2"/>
      <name val="Helv"/>
    </font>
    <font>
      <b/>
      <sz val="12"/>
      <color theme="1" tint="4.9989318521683403E-2"/>
      <name val="Helv"/>
    </font>
    <font>
      <sz val="12"/>
      <color rgb="FFFF0000"/>
      <name val="Arial"/>
      <family val="2"/>
    </font>
    <font>
      <b/>
      <sz val="12"/>
      <color indexed="14"/>
      <name val="Helv"/>
    </font>
    <font>
      <b/>
      <u/>
      <sz val="13"/>
      <name val="Arial"/>
      <family val="2"/>
    </font>
    <font>
      <vertAlign val="superscript"/>
      <sz val="12"/>
      <name val="Helv"/>
    </font>
    <font>
      <sz val="14"/>
      <color rgb="FFFF0000"/>
      <name val="Arial"/>
      <family val="2"/>
    </font>
    <font>
      <sz val="11"/>
      <name val="Arial"/>
      <family val="2"/>
    </font>
    <font>
      <sz val="12"/>
      <color indexed="17"/>
      <name val="Helv"/>
    </font>
    <font>
      <b/>
      <u/>
      <sz val="12"/>
      <name val="Helv"/>
    </font>
    <font>
      <sz val="13"/>
      <color rgb="FFFFFF00"/>
      <name val="Arial"/>
      <family val="2"/>
    </font>
    <font>
      <sz val="11"/>
      <color indexed="8"/>
      <name val="Arial"/>
      <family val="2"/>
    </font>
    <font>
      <b/>
      <sz val="11"/>
      <color indexed="8"/>
      <name val="Arial"/>
      <family val="2"/>
    </font>
    <font>
      <b/>
      <sz val="11"/>
      <color theme="1"/>
      <name val="Calibri"/>
      <family val="2"/>
      <scheme val="minor"/>
    </font>
    <font>
      <b/>
      <sz val="12"/>
      <color theme="1"/>
      <name val="Arial"/>
      <family val="2"/>
    </font>
    <font>
      <b/>
      <sz val="14"/>
      <color theme="1"/>
      <name val="Calibri"/>
      <family val="2"/>
      <scheme val="minor"/>
    </font>
    <font>
      <sz val="13"/>
      <color theme="1"/>
      <name val="Arial"/>
      <family val="2"/>
    </font>
    <font>
      <b/>
      <sz val="13"/>
      <color theme="1"/>
      <name val="Arial"/>
      <family val="2"/>
    </font>
    <font>
      <sz val="14"/>
      <color rgb="FFFFFF00"/>
      <name val="Arial"/>
      <family val="2"/>
    </font>
    <font>
      <b/>
      <sz val="12"/>
      <color theme="0"/>
      <name val="Arial"/>
      <family val="2"/>
    </font>
    <font>
      <sz val="10"/>
      <name val="Arial"/>
    </font>
    <font>
      <sz val="11"/>
      <color theme="1"/>
      <name val="Calibri"/>
      <family val="2"/>
      <scheme val="minor"/>
    </font>
    <font>
      <b/>
      <sz val="16"/>
      <color theme="1"/>
      <name val="Times New Roman"/>
      <family val="1"/>
    </font>
    <font>
      <b/>
      <u/>
      <sz val="16"/>
      <color theme="1"/>
      <name val="Times New Roman"/>
      <family val="1"/>
    </font>
    <font>
      <sz val="14"/>
      <color theme="1"/>
      <name val="Times New Roman"/>
      <family val="1"/>
    </font>
    <font>
      <b/>
      <sz val="12"/>
      <color theme="1"/>
      <name val="Times New Roman"/>
      <family val="1"/>
    </font>
    <font>
      <b/>
      <sz val="14"/>
      <color theme="1"/>
      <name val="Times New Roman"/>
      <family val="1"/>
    </font>
    <font>
      <b/>
      <sz val="14"/>
      <name val="Times New Roman"/>
      <family val="1"/>
    </font>
    <font>
      <sz val="14"/>
      <name val="Times New Roman"/>
      <family val="1"/>
    </font>
    <font>
      <b/>
      <sz val="12"/>
      <name val="Times New Roman"/>
      <family val="1"/>
    </font>
    <font>
      <sz val="14"/>
      <name val="Algerian"/>
      <family val="5"/>
    </font>
    <font>
      <sz val="14"/>
      <color indexed="8"/>
      <name val="Times New Roman"/>
      <family val="1"/>
    </font>
    <font>
      <b/>
      <sz val="12"/>
      <color indexed="8"/>
      <name val="Times New Roman"/>
      <family val="1"/>
    </font>
    <font>
      <sz val="12"/>
      <color indexed="8"/>
      <name val="Times New Roman"/>
      <family val="1"/>
    </font>
    <font>
      <b/>
      <sz val="16"/>
      <color indexed="8"/>
      <name val="Times New Roman"/>
      <family val="1"/>
    </font>
    <font>
      <b/>
      <sz val="16"/>
      <name val="Times New Roman"/>
      <family val="1"/>
    </font>
    <font>
      <sz val="16"/>
      <name val="Times New Roman"/>
      <family val="1"/>
    </font>
    <font>
      <b/>
      <sz val="14"/>
      <color indexed="8"/>
      <name val="Times New Roman"/>
      <family val="1"/>
    </font>
    <font>
      <b/>
      <u/>
      <sz val="14"/>
      <color theme="1"/>
      <name val="Times New Roman"/>
      <family val="1"/>
    </font>
    <font>
      <sz val="11"/>
      <name val="Calibri"/>
      <family val="2"/>
    </font>
    <font>
      <sz val="12"/>
      <name val="Times New Roman"/>
      <family val="1"/>
    </font>
    <font>
      <sz val="12"/>
      <color theme="1"/>
      <name val="Times New Roman"/>
      <family val="1"/>
    </font>
    <font>
      <sz val="12"/>
      <color rgb="FF000000"/>
      <name val="Times New Roman"/>
      <family val="1"/>
    </font>
    <font>
      <b/>
      <sz val="12"/>
      <color rgb="FF000000"/>
      <name val="Times New Roman"/>
      <family val="1"/>
    </font>
  </fonts>
  <fills count="12">
    <fill>
      <patternFill patternType="none"/>
    </fill>
    <fill>
      <patternFill patternType="gray125"/>
    </fill>
    <fill>
      <patternFill patternType="solid">
        <fgColor theme="0"/>
        <bgColor indexed="64"/>
      </patternFill>
    </fill>
    <fill>
      <patternFill patternType="solid">
        <fgColor rgb="FFFFFF00"/>
        <bgColor rgb="FF000000"/>
      </patternFill>
    </fill>
    <fill>
      <patternFill patternType="solid">
        <fgColor rgb="FFFFFF00"/>
        <bgColor indexed="64"/>
      </patternFill>
    </fill>
    <fill>
      <patternFill patternType="solid">
        <fgColor indexed="10"/>
        <bgColor indexed="64"/>
      </patternFill>
    </fill>
    <fill>
      <patternFill patternType="solid">
        <fgColor rgb="FFC00000"/>
        <bgColor indexed="64"/>
      </patternFill>
    </fill>
    <fill>
      <patternFill patternType="solid">
        <fgColor rgb="FFFF0000"/>
        <bgColor indexed="64"/>
      </patternFill>
    </fill>
    <fill>
      <patternFill patternType="solid">
        <fgColor indexed="53"/>
        <bgColor indexed="64"/>
      </patternFill>
    </fill>
    <fill>
      <patternFill patternType="solid">
        <fgColor indexed="13"/>
        <bgColor indexed="64"/>
      </patternFill>
    </fill>
    <fill>
      <patternFill patternType="solid">
        <fgColor indexed="9"/>
        <bgColor indexed="64"/>
      </patternFill>
    </fill>
    <fill>
      <patternFill patternType="solid">
        <fgColor indexed="46"/>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double">
        <color indexed="64"/>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1">
    <xf numFmtId="0" fontId="0" fillId="0" borderId="0"/>
    <xf numFmtId="0" fontId="2" fillId="0" borderId="0"/>
    <xf numFmtId="169" fontId="8" fillId="0" borderId="0"/>
    <xf numFmtId="0" fontId="2" fillId="0" borderId="0"/>
    <xf numFmtId="0" fontId="35" fillId="0" borderId="0">
      <alignment vertical="center"/>
    </xf>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93" fillId="0" borderId="0">
      <protection locked="0"/>
    </xf>
    <xf numFmtId="0" fontId="2" fillId="0" borderId="0"/>
    <xf numFmtId="0" fontId="2" fillId="0" borderId="0"/>
    <xf numFmtId="164" fontId="8" fillId="0" borderId="0"/>
    <xf numFmtId="0" fontId="2" fillId="0" borderId="0"/>
    <xf numFmtId="0" fontId="2" fillId="0" borderId="0"/>
    <xf numFmtId="164" fontId="8" fillId="0" borderId="0"/>
    <xf numFmtId="0" fontId="94" fillId="0" borderId="0"/>
    <xf numFmtId="0" fontId="2" fillId="0" borderId="0"/>
    <xf numFmtId="9" fontId="2" fillId="0" borderId="0" applyFont="0" applyFill="0" applyBorder="0" applyAlignment="0" applyProtection="0"/>
    <xf numFmtId="0" fontId="2" fillId="0" borderId="0"/>
    <xf numFmtId="0" fontId="2" fillId="0" borderId="0"/>
    <xf numFmtId="9" fontId="94" fillId="0" borderId="0" applyFont="0" applyFill="0" applyBorder="0" applyAlignment="0" applyProtection="0"/>
    <xf numFmtId="0" fontId="2" fillId="0" borderId="0"/>
    <xf numFmtId="169" fontId="8" fillId="0" borderId="0"/>
    <xf numFmtId="0" fontId="2" fillId="0" borderId="0"/>
    <xf numFmtId="0" fontId="2" fillId="0" borderId="0"/>
    <xf numFmtId="0" fontId="94" fillId="0" borderId="0"/>
    <xf numFmtId="0" fontId="2" fillId="0" borderId="0"/>
    <xf numFmtId="0" fontId="94" fillId="0" borderId="0"/>
    <xf numFmtId="0" fontId="112" fillId="0" borderId="0">
      <alignment vertical="center"/>
    </xf>
    <xf numFmtId="0" fontId="1" fillId="0" borderId="0"/>
  </cellStyleXfs>
  <cellXfs count="753">
    <xf numFmtId="0" fontId="0" fillId="0" borderId="0" xfId="0"/>
    <xf numFmtId="0" fontId="2" fillId="0" borderId="0" xfId="1" applyAlignment="1">
      <alignment wrapText="1"/>
    </xf>
    <xf numFmtId="0" fontId="3" fillId="0" borderId="0" xfId="1" applyFont="1" applyAlignment="1">
      <alignment vertical="center" wrapText="1"/>
    </xf>
    <xf numFmtId="0" fontId="2" fillId="0" borderId="0" xfId="1"/>
    <xf numFmtId="0" fontId="4" fillId="0" borderId="0" xfId="1" applyFont="1" applyAlignment="1">
      <alignment horizontal="center"/>
    </xf>
    <xf numFmtId="0" fontId="3" fillId="0" borderId="0" xfId="1" applyFont="1" applyAlignment="1">
      <alignment horizontal="center"/>
    </xf>
    <xf numFmtId="0" fontId="3" fillId="0" borderId="0" xfId="1" applyFont="1"/>
    <xf numFmtId="2" fontId="5" fillId="0" borderId="0" xfId="1" applyNumberFormat="1" applyFont="1"/>
    <xf numFmtId="2" fontId="2" fillId="0" borderId="0" xfId="1" applyNumberFormat="1"/>
    <xf numFmtId="17" fontId="2" fillId="0" borderId="0" xfId="1" quotePrefix="1" applyNumberFormat="1"/>
    <xf numFmtId="2" fontId="6" fillId="2" borderId="0" xfId="1" applyNumberFormat="1" applyFont="1" applyFill="1"/>
    <xf numFmtId="0" fontId="5" fillId="0" borderId="0" xfId="1" applyFont="1"/>
    <xf numFmtId="0" fontId="2" fillId="0" borderId="0" xfId="1" applyFont="1" applyAlignment="1">
      <alignment wrapText="1"/>
    </xf>
    <xf numFmtId="0" fontId="2" fillId="0" borderId="0" xfId="1" applyFont="1"/>
    <xf numFmtId="2" fontId="2" fillId="0" borderId="0" xfId="1" applyNumberFormat="1" applyFont="1"/>
    <xf numFmtId="0" fontId="7" fillId="0" borderId="0" xfId="1" applyFont="1" applyAlignment="1">
      <alignment wrapText="1"/>
    </xf>
    <xf numFmtId="0" fontId="7" fillId="0" borderId="0" xfId="1" applyFont="1"/>
    <xf numFmtId="0" fontId="2" fillId="0" borderId="0" xfId="1" applyFont="1" applyFill="1" applyBorder="1"/>
    <xf numFmtId="2" fontId="2" fillId="0" borderId="0" xfId="1" applyNumberFormat="1" applyFont="1" applyFill="1" applyBorder="1"/>
    <xf numFmtId="2" fontId="6" fillId="3" borderId="0" xfId="1" applyNumberFormat="1" applyFont="1" applyFill="1" applyBorder="1"/>
    <xf numFmtId="17" fontId="2" fillId="0" borderId="0" xfId="1" quotePrefix="1" applyNumberFormat="1" applyFont="1" applyFill="1" applyBorder="1"/>
    <xf numFmtId="0" fontId="6" fillId="3" borderId="0" xfId="1" applyFont="1" applyFill="1" applyBorder="1" applyAlignment="1">
      <alignment horizontal="right"/>
    </xf>
    <xf numFmtId="0" fontId="3" fillId="0" borderId="0" xfId="1" applyFont="1" applyFill="1" applyBorder="1"/>
    <xf numFmtId="0" fontId="2" fillId="0" borderId="0" xfId="1" applyFont="1" applyFill="1" applyBorder="1" applyAlignment="1">
      <alignment wrapText="1"/>
    </xf>
    <xf numFmtId="0" fontId="7" fillId="0" borderId="0" xfId="1" applyFont="1" applyFill="1" applyBorder="1" applyAlignment="1">
      <alignment wrapText="1"/>
    </xf>
    <xf numFmtId="2" fontId="3" fillId="0" borderId="0" xfId="1" applyNumberFormat="1" applyFont="1" applyFill="1" applyBorder="1"/>
    <xf numFmtId="164" fontId="8" fillId="0" borderId="0" xfId="2" applyNumberFormat="1" applyAlignment="1" applyProtection="1">
      <alignment horizontal="left"/>
    </xf>
    <xf numFmtId="164" fontId="8" fillId="0" borderId="0" xfId="2" applyNumberFormat="1" applyAlignment="1" applyProtection="1">
      <alignment horizontal="center"/>
    </xf>
    <xf numFmtId="164" fontId="8" fillId="0" borderId="0" xfId="2" applyNumberFormat="1"/>
    <xf numFmtId="164" fontId="8" fillId="0" borderId="0" xfId="2" applyNumberFormat="1" applyAlignment="1"/>
    <xf numFmtId="164" fontId="9" fillId="0" borderId="0" xfId="2" applyNumberFormat="1" applyFont="1" applyAlignment="1" applyProtection="1">
      <alignment horizontal="left"/>
    </xf>
    <xf numFmtId="164" fontId="8" fillId="0" borderId="0" xfId="2" applyNumberFormat="1" applyAlignment="1">
      <alignment horizontal="left"/>
    </xf>
    <xf numFmtId="165" fontId="8" fillId="0" borderId="0" xfId="2" applyNumberFormat="1"/>
    <xf numFmtId="164" fontId="8" fillId="0" borderId="0" xfId="2" applyNumberFormat="1" applyAlignment="1">
      <alignment horizontal="center"/>
    </xf>
    <xf numFmtId="164" fontId="10" fillId="0" borderId="0" xfId="2" applyNumberFormat="1" applyFont="1" applyAlignment="1" applyProtection="1"/>
    <xf numFmtId="164" fontId="8" fillId="0" borderId="0" xfId="2" applyNumberFormat="1" applyAlignment="1" applyProtection="1">
      <alignment horizontal="fill"/>
    </xf>
    <xf numFmtId="164" fontId="11" fillId="0" borderId="0" xfId="2" applyNumberFormat="1" applyFont="1" applyAlignment="1" applyProtection="1">
      <alignment horizontal="left"/>
    </xf>
    <xf numFmtId="164" fontId="9" fillId="0" borderId="0" xfId="2" applyNumberFormat="1" applyFont="1" applyAlignment="1" applyProtection="1">
      <alignment horizontal="right"/>
    </xf>
    <xf numFmtId="164" fontId="8" fillId="0" borderId="0" xfId="2" applyNumberFormat="1" applyAlignment="1" applyProtection="1"/>
    <xf numFmtId="164" fontId="9" fillId="0" borderId="0" xfId="2" applyNumberFormat="1" applyFont="1" applyProtection="1"/>
    <xf numFmtId="164" fontId="8" fillId="0" borderId="0" xfId="2" applyNumberFormat="1" applyProtection="1"/>
    <xf numFmtId="164" fontId="9" fillId="0" borderId="0" xfId="2" applyNumberFormat="1" applyFont="1"/>
    <xf numFmtId="164" fontId="9" fillId="0" borderId="0" xfId="2" applyNumberFormat="1" applyFont="1" applyAlignment="1" applyProtection="1">
      <alignment horizontal="center"/>
    </xf>
    <xf numFmtId="164" fontId="9" fillId="0" borderId="0" xfId="2" applyNumberFormat="1" applyFont="1" applyAlignment="1" applyProtection="1">
      <alignment horizontal="fill"/>
    </xf>
    <xf numFmtId="164" fontId="9" fillId="0" borderId="0" xfId="2" quotePrefix="1" applyNumberFormat="1" applyFont="1" applyAlignment="1" applyProtection="1">
      <alignment horizontal="center"/>
    </xf>
    <xf numFmtId="164" fontId="9" fillId="0" borderId="0" xfId="2" quotePrefix="1" applyNumberFormat="1" applyFont="1" applyAlignment="1">
      <alignment horizontal="center"/>
    </xf>
    <xf numFmtId="164" fontId="8" fillId="0" borderId="0" xfId="3" applyNumberFormat="1" applyFont="1" applyAlignment="1" applyProtection="1">
      <alignment horizontal="left"/>
    </xf>
    <xf numFmtId="164" fontId="12" fillId="0" borderId="0" xfId="2" applyNumberFormat="1" applyFont="1" applyProtection="1"/>
    <xf numFmtId="164" fontId="8" fillId="0" borderId="0" xfId="2" applyNumberFormat="1" applyFont="1" applyProtection="1"/>
    <xf numFmtId="164" fontId="13" fillId="0" borderId="0" xfId="2" applyNumberFormat="1" applyFont="1" applyProtection="1"/>
    <xf numFmtId="166" fontId="14" fillId="0" borderId="0" xfId="2" applyNumberFormat="1" applyFont="1" applyProtection="1"/>
    <xf numFmtId="164" fontId="14" fillId="0" borderId="0" xfId="2" applyNumberFormat="1" applyFont="1" applyAlignment="1" applyProtection="1">
      <alignment horizontal="left"/>
    </xf>
    <xf numFmtId="164" fontId="14" fillId="0" borderId="0" xfId="2" applyNumberFormat="1" applyFont="1" applyProtection="1"/>
    <xf numFmtId="164" fontId="8" fillId="0" borderId="0" xfId="3" applyNumberFormat="1" applyFont="1" applyAlignment="1" applyProtection="1">
      <alignment vertical="center" wrapText="1"/>
    </xf>
    <xf numFmtId="164" fontId="15" fillId="0" borderId="0" xfId="2" applyNumberFormat="1" applyFont="1" applyProtection="1"/>
    <xf numFmtId="164" fontId="8" fillId="0" borderId="0" xfId="3" applyNumberFormat="1" applyFont="1" applyAlignment="1" applyProtection="1">
      <alignment horizontal="left" wrapText="1"/>
    </xf>
    <xf numFmtId="164" fontId="8" fillId="0" borderId="0" xfId="3" applyNumberFormat="1" applyFont="1" applyProtection="1"/>
    <xf numFmtId="164" fontId="8" fillId="0" borderId="0" xfId="2" applyNumberFormat="1" applyFill="1" applyProtection="1"/>
    <xf numFmtId="164" fontId="16" fillId="0" borderId="0" xfId="2" applyNumberFormat="1" applyFont="1" applyProtection="1"/>
    <xf numFmtId="164" fontId="17" fillId="0" borderId="0" xfId="2" applyNumberFormat="1" applyFont="1" applyAlignment="1" applyProtection="1">
      <alignment horizontal="left"/>
    </xf>
    <xf numFmtId="164" fontId="18" fillId="0" borderId="0" xfId="2" applyNumberFormat="1" applyFont="1" applyProtection="1"/>
    <xf numFmtId="164" fontId="8" fillId="0" borderId="0" xfId="3" applyNumberFormat="1" applyFont="1" applyFill="1" applyProtection="1"/>
    <xf numFmtId="164" fontId="19" fillId="4" borderId="0" xfId="2" applyNumberFormat="1" applyFont="1" applyFill="1" applyProtection="1"/>
    <xf numFmtId="164" fontId="20" fillId="0" borderId="0" xfId="2" applyNumberFormat="1" applyFont="1" applyProtection="1"/>
    <xf numFmtId="166" fontId="8" fillId="0" borderId="0" xfId="2" applyNumberFormat="1" applyAlignment="1" applyProtection="1">
      <alignment horizontal="center"/>
    </xf>
    <xf numFmtId="164" fontId="8" fillId="2" borderId="0" xfId="3" applyNumberFormat="1" applyFont="1" applyFill="1" applyProtection="1"/>
    <xf numFmtId="164" fontId="14" fillId="0" borderId="0" xfId="2" applyNumberFormat="1" applyFont="1"/>
    <xf numFmtId="164" fontId="8" fillId="0" borderId="0" xfId="2" applyNumberFormat="1" applyFill="1" applyAlignment="1" applyProtection="1">
      <alignment horizontal="center"/>
    </xf>
    <xf numFmtId="164" fontId="8" fillId="0" borderId="0" xfId="2" applyNumberFormat="1" applyFill="1" applyAlignment="1" applyProtection="1">
      <alignment horizontal="left"/>
    </xf>
    <xf numFmtId="164" fontId="8" fillId="2" borderId="0" xfId="3" applyNumberFormat="1" applyFont="1" applyFill="1" applyAlignment="1" applyProtection="1">
      <alignment horizontal="left"/>
    </xf>
    <xf numFmtId="164" fontId="21" fillId="0" borderId="0" xfId="2" applyNumberFormat="1" applyFont="1" applyFill="1" applyAlignment="1" applyProtection="1">
      <alignment horizontal="right"/>
    </xf>
    <xf numFmtId="164" fontId="12" fillId="0" borderId="0" xfId="2" applyNumberFormat="1" applyFont="1"/>
    <xf numFmtId="164" fontId="12" fillId="0" borderId="0" xfId="2" applyNumberFormat="1" applyFont="1" applyAlignment="1" applyProtection="1">
      <alignment horizontal="right"/>
    </xf>
    <xf numFmtId="164" fontId="22" fillId="0" borderId="0" xfId="2" applyNumberFormat="1" applyFont="1" applyProtection="1"/>
    <xf numFmtId="164" fontId="8" fillId="0" borderId="0" xfId="3" applyNumberFormat="1" applyFont="1" applyAlignment="1" applyProtection="1">
      <alignment horizontal="fill"/>
    </xf>
    <xf numFmtId="164" fontId="12" fillId="0" borderId="0" xfId="2" applyNumberFormat="1" applyFont="1" applyAlignment="1" applyProtection="1">
      <alignment horizontal="left"/>
    </xf>
    <xf numFmtId="165" fontId="8" fillId="0" borderId="0" xfId="2" applyNumberFormat="1" applyProtection="1"/>
    <xf numFmtId="167" fontId="8" fillId="0" borderId="0" xfId="2" applyNumberFormat="1" applyAlignment="1" applyProtection="1">
      <alignment horizontal="center"/>
    </xf>
    <xf numFmtId="164" fontId="8" fillId="0" borderId="0" xfId="2" applyNumberFormat="1" applyFont="1" applyAlignment="1" applyProtection="1">
      <alignment horizontal="left"/>
    </xf>
    <xf numFmtId="164" fontId="22" fillId="0" borderId="0" xfId="2" applyNumberFormat="1" applyFont="1" applyAlignment="1" applyProtection="1">
      <alignment horizontal="left"/>
    </xf>
    <xf numFmtId="164" fontId="8" fillId="0" borderId="0" xfId="2" quotePrefix="1" applyNumberFormat="1"/>
    <xf numFmtId="164" fontId="13" fillId="5" borderId="0" xfId="2" applyNumberFormat="1" applyFont="1" applyFill="1" applyProtection="1"/>
    <xf numFmtId="164" fontId="23" fillId="0" borderId="0" xfId="2" applyNumberFormat="1" applyFont="1" applyProtection="1"/>
    <xf numFmtId="165" fontId="8" fillId="0" borderId="0" xfId="2" applyNumberFormat="1" applyAlignment="1" applyProtection="1">
      <alignment horizontal="center"/>
    </xf>
    <xf numFmtId="167" fontId="8" fillId="0" borderId="0" xfId="2" applyNumberFormat="1" applyAlignment="1" applyProtection="1">
      <alignment horizontal="left"/>
    </xf>
    <xf numFmtId="165" fontId="8" fillId="0" borderId="0" xfId="2" applyNumberFormat="1" applyAlignment="1" applyProtection="1">
      <alignment horizontal="left"/>
    </xf>
    <xf numFmtId="164" fontId="9" fillId="0" borderId="0" xfId="2" applyNumberFormat="1" applyFont="1" applyAlignment="1">
      <alignment horizontal="left"/>
    </xf>
    <xf numFmtId="164" fontId="9" fillId="0" borderId="0" xfId="2" applyNumberFormat="1" applyFont="1" applyAlignment="1" applyProtection="1">
      <alignment horizontal="left" wrapText="1"/>
    </xf>
    <xf numFmtId="164" fontId="8" fillId="0" borderId="0" xfId="2" applyNumberFormat="1" applyAlignment="1" applyProtection="1">
      <alignment horizontal="left" wrapText="1"/>
    </xf>
    <xf numFmtId="167" fontId="8" fillId="0" borderId="0" xfId="2" applyNumberFormat="1" applyAlignment="1">
      <alignment horizontal="center" vertical="top"/>
    </xf>
    <xf numFmtId="165" fontId="8" fillId="0" borderId="0" xfId="2" applyNumberFormat="1" applyAlignment="1">
      <alignment horizontal="center" vertical="top"/>
    </xf>
    <xf numFmtId="167" fontId="8" fillId="0" borderId="0" xfId="2" applyNumberFormat="1" applyFont="1" applyAlignment="1">
      <alignment horizontal="center"/>
    </xf>
    <xf numFmtId="164" fontId="8" fillId="0" borderId="0" xfId="2" applyNumberFormat="1" applyAlignment="1" applyProtection="1">
      <alignment horizontal="left" vertical="top" wrapText="1"/>
    </xf>
    <xf numFmtId="165" fontId="8" fillId="0" borderId="0" xfId="2" applyNumberFormat="1" applyFont="1" applyAlignment="1">
      <alignment horizontal="center"/>
    </xf>
    <xf numFmtId="164" fontId="24" fillId="0" borderId="0" xfId="2" applyNumberFormat="1" applyFont="1" applyProtection="1"/>
    <xf numFmtId="164" fontId="8" fillId="0" borderId="0" xfId="2" applyNumberFormat="1" applyFont="1" applyAlignment="1" applyProtection="1">
      <alignment horizontal="fill"/>
    </xf>
    <xf numFmtId="164" fontId="8" fillId="6" borderId="0" xfId="2" applyNumberFormat="1" applyFill="1" applyAlignment="1" applyProtection="1">
      <alignment horizontal="left"/>
    </xf>
    <xf numFmtId="164" fontId="25" fillId="2" borderId="0" xfId="2" applyNumberFormat="1" applyFont="1" applyFill="1" applyProtection="1"/>
    <xf numFmtId="164" fontId="13" fillId="2" borderId="0" xfId="2" applyNumberFormat="1" applyFont="1" applyFill="1" applyProtection="1"/>
    <xf numFmtId="166" fontId="9" fillId="0" borderId="0" xfId="2" applyNumberFormat="1" applyFont="1" applyAlignment="1" applyProtection="1">
      <alignment horizontal="center"/>
    </xf>
    <xf numFmtId="164" fontId="9" fillId="0" borderId="0" xfId="2" applyNumberFormat="1" applyFont="1" applyAlignment="1" applyProtection="1"/>
    <xf numFmtId="164" fontId="9" fillId="0" borderId="0" xfId="2" applyNumberFormat="1" applyFont="1" applyAlignment="1"/>
    <xf numFmtId="167" fontId="14" fillId="0" borderId="0" xfId="2" applyNumberFormat="1" applyFont="1"/>
    <xf numFmtId="164" fontId="8" fillId="0" borderId="0" xfId="2" applyNumberFormat="1" applyFont="1" applyAlignment="1" applyProtection="1">
      <alignment horizontal="center"/>
    </xf>
    <xf numFmtId="164" fontId="25" fillId="7" borderId="0" xfId="2" applyNumberFormat="1" applyFont="1" applyFill="1" applyProtection="1"/>
    <xf numFmtId="164" fontId="13" fillId="0" borderId="0" xfId="2" applyNumberFormat="1" applyFont="1"/>
    <xf numFmtId="168" fontId="8" fillId="0" borderId="0" xfId="2" applyNumberFormat="1" applyProtection="1"/>
    <xf numFmtId="169" fontId="8" fillId="0" borderId="0" xfId="2" applyNumberFormat="1" applyProtection="1"/>
    <xf numFmtId="164" fontId="8" fillId="4" borderId="0" xfId="2" applyNumberFormat="1" applyFill="1" applyAlignment="1" applyProtection="1">
      <alignment horizontal="left"/>
    </xf>
    <xf numFmtId="164" fontId="22" fillId="4" borderId="0" xfId="2" applyNumberFormat="1" applyFont="1" applyFill="1" applyAlignment="1" applyProtection="1">
      <alignment horizontal="left"/>
    </xf>
    <xf numFmtId="164" fontId="26" fillId="0" borderId="0" xfId="2" applyNumberFormat="1" applyFont="1" applyProtection="1"/>
    <xf numFmtId="164" fontId="14" fillId="0" borderId="0" xfId="2" applyNumberFormat="1" applyFont="1" applyAlignment="1" applyProtection="1">
      <alignment horizontal="left" wrapText="1"/>
    </xf>
    <xf numFmtId="164" fontId="22" fillId="0" borderId="0" xfId="2" applyNumberFormat="1" applyFont="1"/>
    <xf numFmtId="164" fontId="27" fillId="0" borderId="0" xfId="2" applyNumberFormat="1" applyFont="1" applyAlignment="1" applyProtection="1">
      <alignment horizontal="left"/>
    </xf>
    <xf numFmtId="164" fontId="27" fillId="0" borderId="0" xfId="2" applyNumberFormat="1" applyFont="1"/>
    <xf numFmtId="164" fontId="8" fillId="2" borderId="0" xfId="2" applyNumberFormat="1" applyFont="1" applyFill="1" applyProtection="1"/>
    <xf numFmtId="164" fontId="8" fillId="2" borderId="0" xfId="2" applyNumberFormat="1" applyFont="1" applyFill="1" applyAlignment="1" applyProtection="1">
      <alignment horizontal="left"/>
    </xf>
    <xf numFmtId="164" fontId="8" fillId="0" borderId="0" xfId="2" applyNumberFormat="1" applyAlignment="1">
      <alignment horizontal="right"/>
    </xf>
    <xf numFmtId="164" fontId="8" fillId="2" borderId="0" xfId="2" applyNumberFormat="1" applyFont="1" applyFill="1"/>
    <xf numFmtId="164" fontId="15" fillId="7" borderId="0" xfId="2" applyNumberFormat="1" applyFont="1" applyFill="1" applyAlignment="1" applyProtection="1">
      <alignment horizontal="left"/>
    </xf>
    <xf numFmtId="164" fontId="28" fillId="4" borderId="0" xfId="2" applyNumberFormat="1" applyFont="1" applyFill="1" applyAlignment="1" applyProtection="1">
      <alignment horizontal="left"/>
    </xf>
    <xf numFmtId="164" fontId="28" fillId="0" borderId="0" xfId="2" applyNumberFormat="1" applyFont="1" applyProtection="1"/>
    <xf numFmtId="164" fontId="28" fillId="0" borderId="0" xfId="2" applyNumberFormat="1" applyFont="1" applyAlignment="1" applyProtection="1">
      <alignment horizontal="left"/>
    </xf>
    <xf numFmtId="164" fontId="29" fillId="0" borderId="0" xfId="2" applyNumberFormat="1" applyFont="1" applyAlignment="1" applyProtection="1">
      <alignment horizontal="left"/>
    </xf>
    <xf numFmtId="164" fontId="30" fillId="0" borderId="0" xfId="2" applyNumberFormat="1" applyFont="1"/>
    <xf numFmtId="164" fontId="24" fillId="4" borderId="0" xfId="2" applyNumberFormat="1" applyFont="1" applyFill="1" applyProtection="1"/>
    <xf numFmtId="164" fontId="31" fillId="0" borderId="0" xfId="2" applyNumberFormat="1" applyFont="1"/>
    <xf numFmtId="169" fontId="8" fillId="0" borderId="0" xfId="2" applyNumberFormat="1"/>
    <xf numFmtId="164" fontId="22" fillId="4" borderId="0" xfId="2" applyNumberFormat="1" applyFont="1" applyFill="1" applyProtection="1"/>
    <xf numFmtId="166" fontId="14" fillId="0" borderId="0" xfId="2" applyNumberFormat="1" applyFont="1" applyAlignment="1" applyProtection="1">
      <alignment vertical="center" wrapText="1"/>
    </xf>
    <xf numFmtId="164" fontId="13" fillId="0" borderId="0" xfId="2" applyNumberFormat="1" applyFont="1" applyAlignment="1" applyProtection="1">
      <alignment horizontal="right"/>
    </xf>
    <xf numFmtId="164" fontId="32" fillId="0" borderId="0" xfId="2" applyNumberFormat="1" applyFont="1" applyProtection="1"/>
    <xf numFmtId="167" fontId="8" fillId="0" borderId="0" xfId="2" applyNumberFormat="1" applyAlignment="1">
      <alignment horizontal="center"/>
    </xf>
    <xf numFmtId="164" fontId="22" fillId="7" borderId="0" xfId="2" applyNumberFormat="1" applyFont="1" applyFill="1" applyProtection="1"/>
    <xf numFmtId="164" fontId="14" fillId="7" borderId="0" xfId="2" applyNumberFormat="1" applyFont="1" applyFill="1" applyAlignment="1" applyProtection="1">
      <alignment horizontal="left"/>
    </xf>
    <xf numFmtId="164" fontId="8" fillId="7" borderId="0" xfId="2" applyNumberFormat="1" applyFill="1"/>
    <xf numFmtId="164" fontId="22" fillId="7" borderId="0" xfId="2" applyNumberFormat="1" applyFont="1" applyFill="1"/>
    <xf numFmtId="164" fontId="34" fillId="0" borderId="0" xfId="2" applyNumberFormat="1" applyFont="1"/>
    <xf numFmtId="164" fontId="8" fillId="0" borderId="0" xfId="2" applyNumberFormat="1" applyAlignment="1" applyProtection="1">
      <alignment horizontal="right"/>
    </xf>
    <xf numFmtId="164" fontId="8" fillId="0" borderId="0" xfId="2" applyNumberFormat="1" applyFont="1"/>
    <xf numFmtId="164" fontId="13" fillId="0" borderId="0" xfId="2" applyNumberFormat="1" applyFont="1" applyAlignment="1" applyProtection="1">
      <alignment horizontal="left"/>
    </xf>
    <xf numFmtId="166" fontId="28" fillId="0" borderId="0" xfId="2" applyNumberFormat="1" applyFont="1" applyAlignment="1" applyProtection="1">
      <alignment horizontal="left" wrapText="1"/>
    </xf>
    <xf numFmtId="164" fontId="28" fillId="0" borderId="0" xfId="2" applyNumberFormat="1" applyFont="1"/>
    <xf numFmtId="166" fontId="28" fillId="0" borderId="0" xfId="2" applyNumberFormat="1" applyFont="1" applyAlignment="1" applyProtection="1">
      <alignment horizontal="left"/>
    </xf>
    <xf numFmtId="165" fontId="8" fillId="0" borderId="0" xfId="2" applyNumberFormat="1" applyAlignment="1">
      <alignment horizontal="right"/>
    </xf>
    <xf numFmtId="164" fontId="9" fillId="0" borderId="0" xfId="2" applyNumberFormat="1" applyFont="1" applyAlignment="1">
      <alignment wrapText="1"/>
    </xf>
    <xf numFmtId="164" fontId="8" fillId="0" borderId="0" xfId="2" applyNumberFormat="1" applyAlignment="1">
      <alignment vertical="top" wrapText="1"/>
    </xf>
    <xf numFmtId="164" fontId="14" fillId="0" borderId="0" xfId="2" applyNumberFormat="1" applyFont="1" applyAlignment="1" applyProtection="1">
      <alignment horizontal="center"/>
    </xf>
    <xf numFmtId="164" fontId="28" fillId="7" borderId="0" xfId="2" applyNumberFormat="1" applyFont="1" applyFill="1" applyProtection="1"/>
    <xf numFmtId="0" fontId="35" fillId="0" borderId="0" xfId="4">
      <alignment vertical="center"/>
    </xf>
    <xf numFmtId="164" fontId="26" fillId="7" borderId="0" xfId="2" applyNumberFormat="1" applyFont="1" applyFill="1" applyProtection="1"/>
    <xf numFmtId="166" fontId="8" fillId="0" borderId="0" xfId="2" applyNumberFormat="1" applyProtection="1"/>
    <xf numFmtId="169" fontId="8" fillId="0" borderId="0" xfId="2" quotePrefix="1" applyNumberFormat="1" applyProtection="1"/>
    <xf numFmtId="164" fontId="8" fillId="0" borderId="0" xfId="2" quotePrefix="1" applyNumberFormat="1" applyProtection="1"/>
    <xf numFmtId="164" fontId="36" fillId="7" borderId="0" xfId="2" applyNumberFormat="1" applyFont="1" applyFill="1" applyProtection="1"/>
    <xf numFmtId="167" fontId="8" fillId="0" borderId="0" xfId="2" applyNumberFormat="1" applyAlignment="1" applyProtection="1">
      <alignment horizontal="center" vertical="top" wrapText="1"/>
    </xf>
    <xf numFmtId="164" fontId="8" fillId="0" borderId="0" xfId="2" applyNumberFormat="1" applyAlignment="1" applyProtection="1">
      <alignment horizontal="justify" vertical="top" wrapText="1"/>
    </xf>
    <xf numFmtId="168" fontId="8" fillId="0" borderId="0" xfId="2" applyNumberFormat="1" applyAlignment="1" applyProtection="1">
      <alignment horizontal="left"/>
    </xf>
    <xf numFmtId="170" fontId="37" fillId="8" borderId="0" xfId="2" applyNumberFormat="1" applyFont="1" applyFill="1" applyProtection="1"/>
    <xf numFmtId="164" fontId="37" fillId="8" borderId="0" xfId="2" applyNumberFormat="1" applyFont="1" applyFill="1" applyAlignment="1" applyProtection="1"/>
    <xf numFmtId="164" fontId="37" fillId="8" borderId="0" xfId="2" applyNumberFormat="1" applyFont="1" applyFill="1" applyAlignment="1" applyProtection="1">
      <alignment horizontal="left"/>
    </xf>
    <xf numFmtId="164" fontId="37" fillId="8" borderId="0" xfId="2" applyNumberFormat="1" applyFont="1" applyFill="1" applyProtection="1"/>
    <xf numFmtId="170" fontId="8" fillId="0" borderId="0" xfId="2" applyNumberFormat="1" applyProtection="1"/>
    <xf numFmtId="168" fontId="8" fillId="0" borderId="0" xfId="2" applyNumberFormat="1" applyAlignment="1" applyProtection="1">
      <alignment horizontal="fill"/>
    </xf>
    <xf numFmtId="164" fontId="38" fillId="4" borderId="0" xfId="2" applyNumberFormat="1" applyFont="1" applyFill="1"/>
    <xf numFmtId="164" fontId="39" fillId="4" borderId="0" xfId="2" applyNumberFormat="1" applyFont="1" applyFill="1"/>
    <xf numFmtId="164" fontId="39" fillId="4" borderId="0" xfId="2" applyNumberFormat="1" applyFont="1" applyFill="1" applyAlignment="1">
      <alignment horizontal="left"/>
    </xf>
    <xf numFmtId="164" fontId="37" fillId="8" borderId="0" xfId="2" applyNumberFormat="1" applyFont="1" applyFill="1"/>
    <xf numFmtId="165" fontId="37" fillId="8" borderId="0" xfId="2" applyNumberFormat="1" applyFont="1" applyFill="1" applyProtection="1"/>
    <xf numFmtId="165" fontId="8" fillId="0" borderId="0" xfId="2" applyNumberFormat="1" applyAlignment="1" applyProtection="1">
      <alignment horizontal="fill"/>
    </xf>
    <xf numFmtId="169" fontId="8" fillId="0" borderId="0" xfId="2" applyNumberFormat="1" applyFont="1"/>
    <xf numFmtId="164" fontId="8" fillId="0" borderId="0" xfId="2" applyNumberFormat="1" applyFont="1" applyAlignment="1"/>
    <xf numFmtId="164" fontId="8" fillId="0" borderId="0" xfId="2" applyNumberFormat="1" applyFont="1" applyAlignment="1">
      <alignment horizontal="left"/>
    </xf>
    <xf numFmtId="168" fontId="8" fillId="0" borderId="0" xfId="2" applyNumberFormat="1" applyFont="1"/>
    <xf numFmtId="165" fontId="8" fillId="0" borderId="0" xfId="2" applyNumberFormat="1" applyFont="1"/>
    <xf numFmtId="164" fontId="8" fillId="0" borderId="0" xfId="2" quotePrefix="1" applyNumberFormat="1" applyFont="1"/>
    <xf numFmtId="164" fontId="40" fillId="7" borderId="0" xfId="2" applyNumberFormat="1" applyFont="1" applyFill="1" applyProtection="1"/>
    <xf numFmtId="164" fontId="41" fillId="0" borderId="0" xfId="2" applyNumberFormat="1" applyFont="1"/>
    <xf numFmtId="164" fontId="22" fillId="6" borderId="0" xfId="2" applyNumberFormat="1" applyFont="1" applyFill="1" applyAlignment="1" applyProtection="1">
      <alignment horizontal="left"/>
    </xf>
    <xf numFmtId="2" fontId="3" fillId="0" borderId="1" xfId="5" applyNumberFormat="1" applyFont="1" applyBorder="1" applyAlignment="1">
      <alignment vertical="top" wrapText="1"/>
    </xf>
    <xf numFmtId="164" fontId="8" fillId="4" borderId="0" xfId="2" applyNumberFormat="1" applyFont="1" applyFill="1" applyProtection="1"/>
    <xf numFmtId="164" fontId="42" fillId="7" borderId="0" xfId="2" applyNumberFormat="1" applyFont="1" applyFill="1" applyProtection="1"/>
    <xf numFmtId="164" fontId="43" fillId="0" borderId="0" xfId="2" applyNumberFormat="1" applyFont="1" applyProtection="1"/>
    <xf numFmtId="164" fontId="41" fillId="0" borderId="0" xfId="2" applyNumberFormat="1" applyFont="1" applyProtection="1"/>
    <xf numFmtId="164" fontId="44" fillId="0" borderId="0" xfId="2" applyNumberFormat="1" applyFont="1"/>
    <xf numFmtId="165" fontId="9" fillId="0" borderId="0" xfId="2" applyNumberFormat="1" applyFont="1" applyAlignment="1">
      <alignment horizontal="right"/>
    </xf>
    <xf numFmtId="164" fontId="37" fillId="9" borderId="0" xfId="2" applyNumberFormat="1" applyFont="1" applyFill="1"/>
    <xf numFmtId="164" fontId="37" fillId="9" borderId="0" xfId="2" applyNumberFormat="1" applyFont="1" applyFill="1" applyAlignment="1"/>
    <xf numFmtId="164" fontId="45" fillId="0" borderId="0" xfId="2" applyNumberFormat="1" applyFont="1" applyProtection="1"/>
    <xf numFmtId="164" fontId="46" fillId="0" borderId="0" xfId="2" applyNumberFormat="1" applyFont="1"/>
    <xf numFmtId="164" fontId="46" fillId="0" borderId="0" xfId="2" applyNumberFormat="1" applyFont="1" applyAlignment="1"/>
    <xf numFmtId="164" fontId="47" fillId="0" borderId="0" xfId="2" applyNumberFormat="1" applyFont="1"/>
    <xf numFmtId="164" fontId="46" fillId="0" borderId="0" xfId="2" applyNumberFormat="1" applyFont="1" applyAlignment="1">
      <alignment horizontal="center"/>
    </xf>
    <xf numFmtId="164" fontId="48" fillId="2" borderId="0" xfId="2" applyNumberFormat="1" applyFont="1" applyFill="1"/>
    <xf numFmtId="164" fontId="48" fillId="2" borderId="0" xfId="2" applyNumberFormat="1" applyFont="1" applyFill="1" applyAlignment="1"/>
    <xf numFmtId="164" fontId="46" fillId="2" borderId="0" xfId="2" applyNumberFormat="1" applyFont="1" applyFill="1" applyProtection="1"/>
    <xf numFmtId="164" fontId="46" fillId="2" borderId="0" xfId="2" applyNumberFormat="1" applyFont="1" applyFill="1" applyAlignment="1" applyProtection="1"/>
    <xf numFmtId="164" fontId="49" fillId="2" borderId="0" xfId="2" applyNumberFormat="1" applyFont="1" applyFill="1" applyAlignment="1" applyProtection="1">
      <alignment horizontal="left"/>
    </xf>
    <xf numFmtId="164" fontId="49" fillId="2" borderId="0" xfId="2" applyNumberFormat="1" applyFont="1" applyFill="1" applyAlignment="1" applyProtection="1">
      <alignment horizontal="right"/>
    </xf>
    <xf numFmtId="164" fontId="46" fillId="0" borderId="0" xfId="2" applyNumberFormat="1" applyFont="1" applyAlignment="1" applyProtection="1">
      <alignment horizontal="center"/>
    </xf>
    <xf numFmtId="164" fontId="46" fillId="0" borderId="0" xfId="2" applyNumberFormat="1" applyFont="1" applyProtection="1"/>
    <xf numFmtId="164" fontId="18" fillId="0" borderId="0" xfId="2" applyNumberFormat="1" applyFont="1" applyAlignment="1" applyProtection="1">
      <alignment horizontal="right"/>
    </xf>
    <xf numFmtId="164" fontId="46" fillId="0" borderId="0" xfId="2" applyNumberFormat="1" applyFont="1" applyAlignment="1" applyProtection="1"/>
    <xf numFmtId="164" fontId="46" fillId="0" borderId="0" xfId="2" applyNumberFormat="1" applyFont="1" applyAlignment="1" applyProtection="1">
      <alignment horizontal="left"/>
    </xf>
    <xf numFmtId="165" fontId="46" fillId="0" borderId="0" xfId="2" applyNumberFormat="1" applyFont="1" applyProtection="1"/>
    <xf numFmtId="164" fontId="46" fillId="0" borderId="0" xfId="2" applyNumberFormat="1" applyFont="1" applyAlignment="1" applyProtection="1">
      <alignment horizontal="fill"/>
    </xf>
    <xf numFmtId="164" fontId="47" fillId="0" borderId="0" xfId="2" applyNumberFormat="1" applyFont="1" applyAlignment="1" applyProtection="1">
      <alignment horizontal="left"/>
    </xf>
    <xf numFmtId="164" fontId="47" fillId="0" borderId="0" xfId="2" applyNumberFormat="1" applyFont="1" applyProtection="1"/>
    <xf numFmtId="164" fontId="8" fillId="7" borderId="0" xfId="2" applyNumberFormat="1" applyFont="1" applyFill="1" applyProtection="1"/>
    <xf numFmtId="164" fontId="9" fillId="6" borderId="0" xfId="2" applyNumberFormat="1" applyFont="1" applyFill="1" applyAlignment="1" applyProtection="1">
      <alignment horizontal="left"/>
    </xf>
    <xf numFmtId="164" fontId="13" fillId="6" borderId="0" xfId="2" applyNumberFormat="1" applyFont="1" applyFill="1" applyAlignment="1" applyProtection="1">
      <alignment horizontal="left"/>
    </xf>
    <xf numFmtId="168" fontId="8" fillId="0" borderId="0" xfId="2" applyNumberFormat="1" applyAlignment="1" applyProtection="1"/>
    <xf numFmtId="164" fontId="51" fillId="0" borderId="0" xfId="2" applyNumberFormat="1" applyFont="1" applyProtection="1"/>
    <xf numFmtId="168" fontId="51" fillId="0" borderId="0" xfId="2" applyNumberFormat="1" applyFont="1" applyAlignment="1" applyProtection="1"/>
    <xf numFmtId="164" fontId="51" fillId="0" borderId="0" xfId="2" applyNumberFormat="1" applyFont="1" applyAlignment="1" applyProtection="1">
      <alignment horizontal="left"/>
    </xf>
    <xf numFmtId="164" fontId="51" fillId="0" borderId="0" xfId="2" applyNumberFormat="1" applyFont="1" applyAlignment="1" applyProtection="1">
      <alignment horizontal="center"/>
    </xf>
    <xf numFmtId="168" fontId="8" fillId="0" borderId="0" xfId="2" applyNumberFormat="1" applyAlignment="1"/>
    <xf numFmtId="164" fontId="8" fillId="6" borderId="0" xfId="2" applyNumberFormat="1" applyFill="1"/>
    <xf numFmtId="164" fontId="9" fillId="0" borderId="0" xfId="2" applyNumberFormat="1" applyFont="1" applyAlignment="1">
      <alignment horizontal="right"/>
    </xf>
    <xf numFmtId="164" fontId="52" fillId="0" borderId="0" xfId="2" applyNumberFormat="1" applyFont="1"/>
    <xf numFmtId="164" fontId="8" fillId="4" borderId="0" xfId="2" applyNumberFormat="1" applyFill="1"/>
    <xf numFmtId="164" fontId="44" fillId="0" borderId="0" xfId="2" applyNumberFormat="1" applyFont="1" applyAlignment="1">
      <alignment horizontal="center"/>
    </xf>
    <xf numFmtId="164" fontId="8" fillId="0" borderId="2" xfId="2" applyNumberFormat="1" applyBorder="1"/>
    <xf numFmtId="164" fontId="53" fillId="0" borderId="0" xfId="2" applyNumberFormat="1" applyFont="1"/>
    <xf numFmtId="164" fontId="8" fillId="0" borderId="3" xfId="2" applyNumberFormat="1" applyBorder="1"/>
    <xf numFmtId="169" fontId="53" fillId="0" borderId="0" xfId="2" applyNumberFormat="1" applyFont="1" applyProtection="1"/>
    <xf numFmtId="164" fontId="53" fillId="0" borderId="0" xfId="2" applyNumberFormat="1" applyFont="1" applyAlignment="1" applyProtection="1"/>
    <xf numFmtId="164" fontId="54" fillId="0" borderId="0" xfId="2" applyNumberFormat="1" applyFont="1" applyAlignment="1" applyProtection="1">
      <alignment horizontal="center"/>
    </xf>
    <xf numFmtId="164" fontId="53" fillId="0" borderId="0" xfId="2" applyNumberFormat="1" applyFont="1" applyProtection="1"/>
    <xf numFmtId="164" fontId="53" fillId="0" borderId="0" xfId="2" applyNumberFormat="1" applyFont="1" applyAlignment="1" applyProtection="1">
      <alignment horizontal="left"/>
    </xf>
    <xf numFmtId="164" fontId="53" fillId="0" borderId="0" xfId="2" applyNumberFormat="1" applyFont="1" applyAlignment="1">
      <alignment horizontal="center"/>
    </xf>
    <xf numFmtId="164" fontId="53" fillId="0" borderId="0" xfId="2" applyNumberFormat="1" applyFont="1" applyAlignment="1"/>
    <xf numFmtId="164" fontId="54" fillId="0" borderId="0" xfId="2" applyNumberFormat="1" applyFont="1" applyProtection="1"/>
    <xf numFmtId="164" fontId="8" fillId="0" borderId="4" xfId="2" applyNumberFormat="1" applyBorder="1"/>
    <xf numFmtId="164" fontId="54" fillId="0" borderId="0" xfId="2" applyNumberFormat="1" applyFont="1"/>
    <xf numFmtId="164" fontId="53" fillId="0" borderId="0" xfId="2" applyNumberFormat="1" applyFont="1" applyAlignment="1" applyProtection="1">
      <alignment horizontal="right"/>
    </xf>
    <xf numFmtId="164" fontId="53" fillId="0" borderId="0" xfId="2" applyNumberFormat="1" applyFont="1" applyAlignment="1">
      <alignment horizontal="left"/>
    </xf>
    <xf numFmtId="164" fontId="53" fillId="0" borderId="0" xfId="2" applyNumberFormat="1" applyFont="1" applyAlignment="1" applyProtection="1">
      <alignment horizontal="fill"/>
    </xf>
    <xf numFmtId="166" fontId="55" fillId="0" borderId="5" xfId="2" applyNumberFormat="1" applyFont="1" applyBorder="1" applyAlignment="1" applyProtection="1">
      <alignment horizontal="center"/>
    </xf>
    <xf numFmtId="164" fontId="8" fillId="0" borderId="6" xfId="2" applyNumberFormat="1" applyBorder="1" applyAlignment="1" applyProtection="1"/>
    <xf numFmtId="164" fontId="8" fillId="0" borderId="6" xfId="2" applyNumberFormat="1" applyBorder="1" applyAlignment="1" applyProtection="1">
      <alignment horizontal="left"/>
    </xf>
    <xf numFmtId="164" fontId="8" fillId="0" borderId="6" xfId="2" applyNumberFormat="1" applyBorder="1"/>
    <xf numFmtId="164" fontId="8" fillId="0" borderId="6" xfId="2" applyNumberFormat="1" applyBorder="1" applyAlignment="1">
      <alignment horizontal="left"/>
    </xf>
    <xf numFmtId="164" fontId="8" fillId="0" borderId="7" xfId="2" applyNumberFormat="1" applyBorder="1"/>
    <xf numFmtId="164" fontId="8" fillId="0" borderId="0" xfId="2" applyNumberFormat="1" applyBorder="1" applyAlignment="1"/>
    <xf numFmtId="164" fontId="8" fillId="0" borderId="0" xfId="2" applyNumberFormat="1" applyBorder="1" applyAlignment="1" applyProtection="1">
      <alignment horizontal="left"/>
    </xf>
    <xf numFmtId="164" fontId="8" fillId="0" borderId="0" xfId="2" applyNumberFormat="1" applyBorder="1"/>
    <xf numFmtId="164" fontId="8" fillId="0" borderId="0" xfId="2" applyNumberFormat="1" applyBorder="1" applyAlignment="1">
      <alignment horizontal="left"/>
    </xf>
    <xf numFmtId="164" fontId="8" fillId="0" borderId="0" xfId="2" applyNumberFormat="1" applyBorder="1" applyAlignment="1" applyProtection="1">
      <alignment horizontal="fill"/>
    </xf>
    <xf numFmtId="164" fontId="8" fillId="0" borderId="7" xfId="2" applyNumberFormat="1" applyBorder="1" applyProtection="1"/>
    <xf numFmtId="164" fontId="8" fillId="0" borderId="0" xfId="2" applyNumberFormat="1" applyBorder="1" applyAlignment="1" applyProtection="1"/>
    <xf numFmtId="164" fontId="22" fillId="0" borderId="0" xfId="2" applyNumberFormat="1" applyFont="1" applyBorder="1" applyProtection="1"/>
    <xf numFmtId="164" fontId="8" fillId="0" borderId="0" xfId="2" applyNumberFormat="1" applyBorder="1" applyProtection="1"/>
    <xf numFmtId="164" fontId="22" fillId="6" borderId="0" xfId="2" applyNumberFormat="1" applyFont="1" applyFill="1" applyBorder="1" applyProtection="1"/>
    <xf numFmtId="164" fontId="8" fillId="0" borderId="0" xfId="2" applyNumberFormat="1" applyBorder="1" applyAlignment="1" applyProtection="1">
      <alignment horizontal="right"/>
    </xf>
    <xf numFmtId="164" fontId="9" fillId="0" borderId="0" xfId="2" applyNumberFormat="1" applyFont="1" applyBorder="1" applyAlignment="1" applyProtection="1">
      <alignment horizontal="center"/>
    </xf>
    <xf numFmtId="164" fontId="9" fillId="0" borderId="0" xfId="2" applyNumberFormat="1" applyFont="1" applyBorder="1"/>
    <xf numFmtId="164" fontId="9" fillId="0" borderId="0" xfId="2" applyNumberFormat="1" applyFont="1" applyBorder="1" applyAlignment="1">
      <alignment horizontal="left"/>
    </xf>
    <xf numFmtId="164" fontId="9" fillId="0" borderId="0" xfId="2" applyNumberFormat="1" applyFont="1" applyBorder="1" applyProtection="1"/>
    <xf numFmtId="164" fontId="8" fillId="0" borderId="8" xfId="2" applyNumberFormat="1" applyBorder="1"/>
    <xf numFmtId="164" fontId="8" fillId="0" borderId="9" xfId="2" applyNumberFormat="1" applyBorder="1" applyAlignment="1"/>
    <xf numFmtId="164" fontId="8" fillId="0" borderId="9" xfId="2" applyNumberFormat="1" applyBorder="1"/>
    <xf numFmtId="164" fontId="8" fillId="0" borderId="9" xfId="2" applyNumberFormat="1" applyBorder="1" applyAlignment="1">
      <alignment horizontal="left"/>
    </xf>
    <xf numFmtId="164" fontId="8" fillId="0" borderId="9" xfId="2" applyNumberFormat="1" applyBorder="1" applyAlignment="1" applyProtection="1">
      <alignment horizontal="fill"/>
    </xf>
    <xf numFmtId="164" fontId="55" fillId="0" borderId="5" xfId="2" applyNumberFormat="1" applyFont="1" applyBorder="1" applyAlignment="1" applyProtection="1">
      <alignment horizontal="center"/>
    </xf>
    <xf numFmtId="165" fontId="8" fillId="0" borderId="7" xfId="2" applyNumberFormat="1" applyBorder="1" applyProtection="1"/>
    <xf numFmtId="165" fontId="8" fillId="0" borderId="8" xfId="2" applyNumberFormat="1" applyBorder="1" applyProtection="1"/>
    <xf numFmtId="164" fontId="9" fillId="0" borderId="9" xfId="2" applyNumberFormat="1" applyFont="1" applyBorder="1" applyAlignment="1" applyProtection="1">
      <alignment horizontal="center"/>
    </xf>
    <xf numFmtId="164" fontId="9" fillId="0" borderId="9" xfId="2" applyNumberFormat="1" applyFont="1" applyBorder="1"/>
    <xf numFmtId="164" fontId="9" fillId="0" borderId="9" xfId="2" applyNumberFormat="1" applyFont="1" applyBorder="1" applyAlignment="1">
      <alignment horizontal="left"/>
    </xf>
    <xf numFmtId="164" fontId="9" fillId="0" borderId="9" xfId="2" applyNumberFormat="1" applyFont="1" applyBorder="1" applyProtection="1"/>
    <xf numFmtId="164" fontId="56" fillId="0" borderId="0" xfId="2" applyNumberFormat="1" applyFont="1"/>
    <xf numFmtId="164" fontId="41" fillId="0" borderId="0" xfId="2" applyNumberFormat="1" applyFont="1" applyAlignment="1" applyProtection="1">
      <alignment horizontal="left"/>
    </xf>
    <xf numFmtId="164" fontId="8" fillId="0" borderId="0" xfId="2" applyNumberFormat="1" applyFont="1" applyAlignment="1" applyProtection="1"/>
    <xf numFmtId="166" fontId="8" fillId="0" borderId="0" xfId="2" applyNumberFormat="1" applyAlignment="1">
      <alignment horizontal="center"/>
    </xf>
    <xf numFmtId="167" fontId="8" fillId="0" borderId="0" xfId="2" applyNumberFormat="1"/>
    <xf numFmtId="164" fontId="8" fillId="0" borderId="0" xfId="2" applyNumberFormat="1" applyAlignment="1">
      <alignment wrapText="1"/>
    </xf>
    <xf numFmtId="164" fontId="8" fillId="0" borderId="0" xfId="2" applyNumberFormat="1" applyAlignment="1" applyProtection="1">
      <alignment vertical="center"/>
    </xf>
    <xf numFmtId="164" fontId="8" fillId="0" borderId="0" xfId="2" applyNumberFormat="1" applyFont="1" applyAlignment="1" applyProtection="1">
      <alignment horizontal="left" wrapText="1"/>
    </xf>
    <xf numFmtId="164" fontId="8" fillId="0" borderId="0" xfId="2" applyNumberFormat="1" applyAlignment="1" applyProtection="1">
      <alignment horizontal="left" vertical="center"/>
    </xf>
    <xf numFmtId="164" fontId="8" fillId="0" borderId="0" xfId="2" applyNumberFormat="1" applyFont="1" applyAlignment="1" applyProtection="1">
      <alignment vertical="center"/>
    </xf>
    <xf numFmtId="164" fontId="57" fillId="6" borderId="0" xfId="2" applyNumberFormat="1" applyFont="1" applyFill="1" applyProtection="1"/>
    <xf numFmtId="164" fontId="57" fillId="4" borderId="0" xfId="2" applyNumberFormat="1" applyFont="1" applyFill="1" applyProtection="1"/>
    <xf numFmtId="164" fontId="26" fillId="7" borderId="0" xfId="2" applyNumberFormat="1" applyFont="1" applyFill="1" applyAlignment="1" applyProtection="1">
      <alignment vertical="center"/>
    </xf>
    <xf numFmtId="164" fontId="26" fillId="7" borderId="0" xfId="2" applyNumberFormat="1" applyFont="1" applyFill="1" applyAlignment="1" applyProtection="1">
      <alignment horizontal="left"/>
    </xf>
    <xf numFmtId="164" fontId="13" fillId="7" borderId="0" xfId="2" applyNumberFormat="1" applyFont="1" applyFill="1" applyAlignment="1" applyProtection="1">
      <alignment horizontal="left"/>
    </xf>
    <xf numFmtId="164" fontId="42" fillId="0" borderId="0" xfId="2" applyNumberFormat="1" applyFont="1" applyProtection="1"/>
    <xf numFmtId="164" fontId="9" fillId="0" borderId="10" xfId="2" applyNumberFormat="1" applyFont="1" applyBorder="1" applyProtection="1"/>
    <xf numFmtId="164" fontId="8" fillId="0" borderId="11" xfId="2" applyNumberFormat="1" applyBorder="1" applyAlignment="1" applyProtection="1">
      <alignment horizontal="fill"/>
    </xf>
    <xf numFmtId="164" fontId="56" fillId="0" borderId="0" xfId="2" applyNumberFormat="1" applyFont="1" applyAlignment="1" applyProtection="1">
      <alignment horizontal="left"/>
    </xf>
    <xf numFmtId="164" fontId="22" fillId="6" borderId="0" xfId="2" applyNumberFormat="1" applyFont="1" applyFill="1" applyProtection="1"/>
    <xf numFmtId="164" fontId="26" fillId="6" borderId="0" xfId="2" applyNumberFormat="1" applyFont="1" applyFill="1" applyProtection="1"/>
    <xf numFmtId="164" fontId="26" fillId="6" borderId="0" xfId="2" applyNumberFormat="1" applyFont="1" applyFill="1"/>
    <xf numFmtId="164" fontId="34" fillId="7" borderId="0" xfId="2" applyNumberFormat="1" applyFont="1" applyFill="1" applyProtection="1"/>
    <xf numFmtId="167" fontId="8" fillId="0" borderId="0" xfId="2" applyNumberFormat="1" applyAlignment="1" applyProtection="1">
      <alignment horizontal="center" vertical="top"/>
    </xf>
    <xf numFmtId="164" fontId="20" fillId="0" borderId="0" xfId="2" applyNumberFormat="1" applyFont="1" applyAlignment="1" applyProtection="1">
      <alignment horizontal="right" vertical="center"/>
    </xf>
    <xf numFmtId="2" fontId="53" fillId="0" borderId="1" xfId="6" applyNumberFormat="1" applyFont="1" applyBorder="1" applyAlignment="1">
      <alignment vertical="top" wrapText="1"/>
    </xf>
    <xf numFmtId="164" fontId="8" fillId="0" borderId="0" xfId="2" applyNumberFormat="1" applyFill="1" applyBorder="1" applyAlignment="1" applyProtection="1">
      <alignment horizontal="left"/>
    </xf>
    <xf numFmtId="167" fontId="8" fillId="0" borderId="0" xfId="2" applyNumberFormat="1" applyAlignment="1">
      <alignment horizontal="center" vertical="top" wrapText="1"/>
    </xf>
    <xf numFmtId="164" fontId="9" fillId="0" borderId="0" xfId="2" applyNumberFormat="1" applyFont="1" applyAlignment="1" applyProtection="1">
      <alignment horizontal="left" vertical="top" wrapText="1"/>
    </xf>
    <xf numFmtId="164" fontId="42" fillId="7" borderId="0" xfId="2" applyNumberFormat="1" applyFont="1" applyFill="1"/>
    <xf numFmtId="164" fontId="20" fillId="0" borderId="0" xfId="2" applyNumberFormat="1" applyFont="1"/>
    <xf numFmtId="164" fontId="8" fillId="0" borderId="0" xfId="2" applyNumberFormat="1" applyBorder="1" applyAlignment="1">
      <alignment horizontal="left" vertical="top"/>
    </xf>
    <xf numFmtId="164" fontId="8" fillId="0" borderId="0" xfId="2" applyNumberFormat="1" applyFont="1" applyBorder="1" applyAlignment="1">
      <alignment horizontal="right" vertical="top"/>
    </xf>
    <xf numFmtId="164" fontId="8" fillId="7" borderId="0" xfId="2" applyNumberFormat="1" applyFont="1" applyFill="1"/>
    <xf numFmtId="164" fontId="13" fillId="7" borderId="0" xfId="2" applyNumberFormat="1" applyFont="1" applyFill="1"/>
    <xf numFmtId="164" fontId="9" fillId="0" borderId="0" xfId="2" applyNumberFormat="1" applyFont="1" applyAlignment="1">
      <alignment horizontal="left" vertical="top" wrapText="1"/>
    </xf>
    <xf numFmtId="164" fontId="9" fillId="6" borderId="0" xfId="2" applyNumberFormat="1" applyFont="1" applyFill="1" applyAlignment="1">
      <alignment wrapText="1"/>
    </xf>
    <xf numFmtId="165" fontId="12" fillId="0" borderId="0" xfId="2" applyNumberFormat="1" applyFont="1"/>
    <xf numFmtId="164" fontId="9" fillId="0" borderId="0" xfId="2" applyNumberFormat="1" applyFont="1" applyAlignment="1">
      <alignment horizontal="right" vertical="top"/>
    </xf>
    <xf numFmtId="164" fontId="8" fillId="0" borderId="0" xfId="2" applyNumberFormat="1" applyFont="1" applyAlignment="1">
      <alignment vertical="top" wrapText="1"/>
    </xf>
    <xf numFmtId="164" fontId="8" fillId="7" borderId="0" xfId="2" quotePrefix="1" applyNumberFormat="1" applyFill="1"/>
    <xf numFmtId="164" fontId="9" fillId="0" borderId="0" xfId="2" applyNumberFormat="1" applyFont="1" applyAlignment="1">
      <alignment horizontal="center"/>
    </xf>
    <xf numFmtId="164" fontId="9" fillId="0" borderId="0" xfId="2" applyNumberFormat="1" applyFont="1" applyAlignment="1">
      <alignment horizontal="left" wrapText="1"/>
    </xf>
    <xf numFmtId="164" fontId="8" fillId="0" borderId="0" xfId="2" applyNumberFormat="1" applyAlignment="1">
      <alignment horizontal="left" wrapText="1"/>
    </xf>
    <xf numFmtId="164" fontId="22" fillId="4" borderId="0" xfId="2" applyNumberFormat="1" applyFont="1" applyFill="1"/>
    <xf numFmtId="164" fontId="22" fillId="0" borderId="0" xfId="2" applyNumberFormat="1" applyFont="1" applyAlignment="1" applyProtection="1">
      <alignment horizontal="right"/>
    </xf>
    <xf numFmtId="164" fontId="8" fillId="7" borderId="0" xfId="2" applyNumberFormat="1" applyFill="1" applyAlignment="1">
      <alignment wrapText="1"/>
    </xf>
    <xf numFmtId="164" fontId="8" fillId="0" borderId="0" xfId="2" quotePrefix="1" applyNumberFormat="1" applyAlignment="1" applyProtection="1">
      <alignment horizontal="fill"/>
    </xf>
    <xf numFmtId="164" fontId="8" fillId="7" borderId="0" xfId="2" applyNumberFormat="1" applyFill="1" applyAlignment="1" applyProtection="1">
      <alignment horizontal="left"/>
    </xf>
    <xf numFmtId="165" fontId="8" fillId="0" borderId="0" xfId="2" applyNumberFormat="1" applyFont="1" applyProtection="1"/>
    <xf numFmtId="164" fontId="8" fillId="0" borderId="0" xfId="2" quotePrefix="1" applyNumberFormat="1" applyFont="1" applyAlignment="1" applyProtection="1">
      <alignment horizontal="fill"/>
    </xf>
    <xf numFmtId="164" fontId="9" fillId="0" borderId="0" xfId="2" quotePrefix="1" applyNumberFormat="1" applyFont="1" applyProtection="1"/>
    <xf numFmtId="164" fontId="8" fillId="0" borderId="0" xfId="2" quotePrefix="1" applyNumberFormat="1" applyFont="1" applyProtection="1"/>
    <xf numFmtId="164" fontId="28" fillId="7" borderId="0" xfId="2" applyNumberFormat="1" applyFont="1" applyFill="1"/>
    <xf numFmtId="167" fontId="9" fillId="0" borderId="0" xfId="2" applyNumberFormat="1" applyFont="1"/>
    <xf numFmtId="164" fontId="8" fillId="0" borderId="0" xfId="2" applyNumberFormat="1" applyFont="1" applyAlignment="1">
      <alignment horizontal="fill"/>
    </xf>
    <xf numFmtId="164" fontId="8" fillId="0" borderId="0" xfId="2" quotePrefix="1" applyNumberFormat="1" applyFont="1" applyAlignment="1">
      <alignment horizontal="fill"/>
    </xf>
    <xf numFmtId="169" fontId="9" fillId="0" borderId="0" xfId="2" applyNumberFormat="1" applyFont="1"/>
    <xf numFmtId="169" fontId="9" fillId="0" borderId="0" xfId="2" applyNumberFormat="1" applyFont="1" applyAlignment="1">
      <alignment horizontal="right"/>
    </xf>
    <xf numFmtId="164" fontId="60" fillId="0" borderId="0" xfId="2" applyNumberFormat="1" applyFont="1"/>
    <xf numFmtId="164" fontId="61" fillId="0" borderId="0" xfId="2" applyNumberFormat="1" applyFont="1" applyAlignment="1">
      <alignment horizontal="left" vertical="top"/>
    </xf>
    <xf numFmtId="167" fontId="17" fillId="0" borderId="0" xfId="2" applyNumberFormat="1" applyFont="1" applyAlignment="1" applyProtection="1">
      <alignment horizontal="center"/>
    </xf>
    <xf numFmtId="164" fontId="17" fillId="0" borderId="0" xfId="2" applyNumberFormat="1" applyFont="1" applyAlignment="1"/>
    <xf numFmtId="164" fontId="17" fillId="0" borderId="0" xfId="2" applyNumberFormat="1" applyFont="1"/>
    <xf numFmtId="164" fontId="17" fillId="0" borderId="0" xfId="2" applyNumberFormat="1" applyFont="1" applyAlignment="1">
      <alignment horizontal="left"/>
    </xf>
    <xf numFmtId="164" fontId="17" fillId="0" borderId="0" xfId="2" applyNumberFormat="1" applyFont="1" applyAlignment="1" applyProtection="1">
      <alignment horizontal="fill"/>
    </xf>
    <xf numFmtId="164" fontId="8" fillId="0" borderId="0" xfId="2" applyNumberFormat="1" applyFont="1" applyAlignment="1">
      <alignment wrapText="1"/>
    </xf>
    <xf numFmtId="164" fontId="36" fillId="2" borderId="0" xfId="2" applyNumberFormat="1" applyFont="1" applyFill="1"/>
    <xf numFmtId="168" fontId="17" fillId="0" borderId="0" xfId="2" applyNumberFormat="1" applyFont="1" applyProtection="1"/>
    <xf numFmtId="168" fontId="17" fillId="0" borderId="0" xfId="2" applyNumberFormat="1" applyFont="1" applyAlignment="1" applyProtection="1">
      <alignment horizontal="left"/>
    </xf>
    <xf numFmtId="170" fontId="17" fillId="0" borderId="0" xfId="2" applyNumberFormat="1" applyFont="1" applyProtection="1"/>
    <xf numFmtId="164" fontId="17" fillId="0" borderId="0" xfId="2" applyNumberFormat="1" applyFont="1" applyAlignment="1" applyProtection="1"/>
    <xf numFmtId="164" fontId="17" fillId="0" borderId="0" xfId="2" applyNumberFormat="1" applyFont="1" applyProtection="1"/>
    <xf numFmtId="164" fontId="62" fillId="7" borderId="0" xfId="2" applyNumberFormat="1" applyFont="1" applyFill="1" applyProtection="1"/>
    <xf numFmtId="164" fontId="17" fillId="7" borderId="0" xfId="2" applyNumberFormat="1" applyFont="1" applyFill="1" applyAlignment="1" applyProtection="1">
      <alignment horizontal="left"/>
    </xf>
    <xf numFmtId="164" fontId="17" fillId="0" borderId="0" xfId="2" applyNumberFormat="1" applyFont="1" applyAlignment="1" applyProtection="1">
      <alignment horizontal="center"/>
    </xf>
    <xf numFmtId="164" fontId="20" fillId="6" borderId="0" xfId="2" applyNumberFormat="1" applyFont="1" applyFill="1"/>
    <xf numFmtId="164" fontId="11" fillId="0" borderId="0" xfId="2" applyNumberFormat="1" applyFont="1"/>
    <xf numFmtId="164" fontId="11" fillId="0" borderId="0" xfId="2" applyNumberFormat="1" applyFont="1" applyAlignment="1">
      <alignment horizontal="left"/>
    </xf>
    <xf numFmtId="164" fontId="11" fillId="0" borderId="0" xfId="2" applyNumberFormat="1" applyFont="1" applyAlignment="1" applyProtection="1">
      <alignment horizontal="fill"/>
    </xf>
    <xf numFmtId="164" fontId="11" fillId="0" borderId="0" xfId="2" applyNumberFormat="1" applyFont="1" applyAlignment="1" applyProtection="1">
      <alignment horizontal="center"/>
    </xf>
    <xf numFmtId="164" fontId="11" fillId="0" borderId="0" xfId="2" applyNumberFormat="1" applyFont="1" applyProtection="1"/>
    <xf numFmtId="2" fontId="8" fillId="0" borderId="0" xfId="2" applyNumberFormat="1"/>
    <xf numFmtId="164" fontId="3" fillId="0" borderId="0" xfId="2" applyNumberFormat="1" applyFont="1" applyAlignment="1">
      <alignment horizontal="right"/>
    </xf>
    <xf numFmtId="2" fontId="9" fillId="0" borderId="0" xfId="2" applyNumberFormat="1" applyFont="1"/>
    <xf numFmtId="164" fontId="51" fillId="0" borderId="0" xfId="2" applyNumberFormat="1" applyFont="1"/>
    <xf numFmtId="164" fontId="51" fillId="0" borderId="0" xfId="2" applyNumberFormat="1" applyFont="1" applyAlignment="1"/>
    <xf numFmtId="164" fontId="61" fillId="0" borderId="9" xfId="2" applyNumberFormat="1" applyFont="1" applyBorder="1"/>
    <xf numFmtId="164" fontId="51" fillId="0" borderId="0" xfId="2" applyNumberFormat="1" applyFont="1" applyAlignment="1">
      <alignment horizontal="center"/>
    </xf>
    <xf numFmtId="164" fontId="51" fillId="0" borderId="0" xfId="2" applyNumberFormat="1" applyFont="1" applyAlignment="1">
      <alignment horizontal="right"/>
    </xf>
    <xf numFmtId="164" fontId="61" fillId="0" borderId="0" xfId="2" applyNumberFormat="1" applyFont="1" applyAlignment="1">
      <alignment horizontal="right"/>
    </xf>
    <xf numFmtId="164" fontId="61" fillId="0" borderId="0" xfId="2" applyNumberFormat="1" applyFont="1"/>
    <xf numFmtId="164" fontId="51" fillId="0" borderId="0" xfId="2" applyNumberFormat="1" applyFont="1" applyAlignment="1" applyProtection="1"/>
    <xf numFmtId="164" fontId="51" fillId="0" borderId="0" xfId="2" applyNumberFormat="1" applyFont="1" applyAlignment="1" applyProtection="1">
      <alignment horizontal="fill"/>
    </xf>
    <xf numFmtId="164" fontId="51" fillId="7" borderId="0" xfId="2" applyNumberFormat="1" applyFont="1" applyFill="1" applyAlignment="1" applyProtection="1">
      <alignment horizontal="left"/>
    </xf>
    <xf numFmtId="164" fontId="61" fillId="0" borderId="0" xfId="2" applyNumberFormat="1" applyFont="1" applyAlignment="1">
      <alignment horizontal="center"/>
    </xf>
    <xf numFmtId="164" fontId="61" fillId="0" borderId="0" xfId="2" applyNumberFormat="1" applyFont="1" applyAlignment="1" applyProtection="1">
      <alignment horizontal="right"/>
    </xf>
    <xf numFmtId="164" fontId="51" fillId="0" borderId="0" xfId="2" applyNumberFormat="1" applyFont="1" applyAlignment="1" applyProtection="1">
      <alignment horizontal="right"/>
    </xf>
    <xf numFmtId="164" fontId="61" fillId="0" borderId="0" xfId="2" applyNumberFormat="1" applyFont="1" applyAlignment="1" applyProtection="1">
      <alignment horizontal="fill"/>
    </xf>
    <xf numFmtId="164" fontId="61" fillId="0" borderId="0" xfId="2" applyNumberFormat="1" applyFont="1" applyAlignment="1" applyProtection="1">
      <alignment horizontal="left"/>
    </xf>
    <xf numFmtId="164" fontId="61" fillId="0" borderId="0" xfId="2" applyNumberFormat="1" applyFont="1" applyProtection="1"/>
    <xf numFmtId="167" fontId="51" fillId="0" borderId="0" xfId="2" applyNumberFormat="1" applyFont="1" applyAlignment="1" applyProtection="1">
      <alignment horizontal="center"/>
    </xf>
    <xf numFmtId="164" fontId="51" fillId="0" borderId="0" xfId="2" applyNumberFormat="1" applyFont="1" applyAlignment="1" applyProtection="1">
      <alignment horizontal="left" wrapText="1"/>
    </xf>
    <xf numFmtId="166" fontId="51" fillId="0" borderId="0" xfId="2" applyNumberFormat="1" applyFont="1" applyAlignment="1">
      <alignment horizontal="center"/>
    </xf>
    <xf numFmtId="165" fontId="51" fillId="0" borderId="0" xfId="2" applyNumberFormat="1" applyFont="1"/>
    <xf numFmtId="165" fontId="51" fillId="0" borderId="0" xfId="2" applyNumberFormat="1" applyFont="1" applyAlignment="1" applyProtection="1">
      <alignment horizontal="center"/>
    </xf>
    <xf numFmtId="164" fontId="51" fillId="0" borderId="5" xfId="2" applyNumberFormat="1" applyFont="1" applyBorder="1"/>
    <xf numFmtId="164" fontId="51" fillId="0" borderId="6" xfId="2" applyNumberFormat="1" applyFont="1" applyBorder="1"/>
    <xf numFmtId="167" fontId="51" fillId="0" borderId="7" xfId="2" applyNumberFormat="1" applyFont="1" applyBorder="1" applyAlignment="1" applyProtection="1">
      <alignment horizontal="center"/>
    </xf>
    <xf numFmtId="164" fontId="61" fillId="0" borderId="0" xfId="2" applyNumberFormat="1" applyFont="1" applyBorder="1" applyAlignment="1"/>
    <xf numFmtId="164" fontId="51" fillId="0" borderId="0" xfId="2" applyNumberFormat="1" applyFont="1" applyBorder="1"/>
    <xf numFmtId="164" fontId="51" fillId="0" borderId="0" xfId="2" applyNumberFormat="1" applyFont="1" applyBorder="1" applyAlignment="1">
      <alignment horizontal="center"/>
    </xf>
    <xf numFmtId="164" fontId="51" fillId="0" borderId="7" xfId="2" applyNumberFormat="1" applyFont="1" applyBorder="1"/>
    <xf numFmtId="164" fontId="51" fillId="0" borderId="0" xfId="2" applyNumberFormat="1" applyFont="1" applyBorder="1" applyAlignment="1"/>
    <xf numFmtId="164" fontId="63" fillId="4" borderId="0" xfId="2" applyNumberFormat="1" applyFont="1" applyFill="1" applyBorder="1"/>
    <xf numFmtId="164" fontId="63" fillId="10" borderId="0" xfId="2" applyNumberFormat="1" applyFont="1" applyFill="1" applyBorder="1"/>
    <xf numFmtId="164" fontId="51" fillId="0" borderId="0" xfId="2" applyNumberFormat="1" applyFont="1" applyBorder="1" applyAlignment="1">
      <alignment horizontal="right"/>
    </xf>
    <xf numFmtId="168" fontId="51" fillId="0" borderId="0" xfId="2" applyNumberFormat="1" applyFont="1" applyProtection="1"/>
    <xf numFmtId="164" fontId="58" fillId="0" borderId="0" xfId="2" applyNumberFormat="1" applyFont="1" applyBorder="1" applyAlignment="1">
      <alignment horizontal="fill"/>
    </xf>
    <xf numFmtId="168" fontId="8" fillId="0" borderId="0" xfId="2" applyNumberFormat="1"/>
    <xf numFmtId="164" fontId="61" fillId="0" borderId="0" xfId="2" applyNumberFormat="1" applyFont="1" applyBorder="1"/>
    <xf numFmtId="168" fontId="51" fillId="0" borderId="0" xfId="2" applyNumberFormat="1" applyFont="1" applyAlignment="1" applyProtection="1">
      <alignment horizontal="center"/>
    </xf>
    <xf numFmtId="164" fontId="51" fillId="0" borderId="8" xfId="2" applyNumberFormat="1" applyFont="1" applyBorder="1"/>
    <xf numFmtId="164" fontId="51" fillId="0" borderId="9" xfId="2" applyNumberFormat="1" applyFont="1" applyBorder="1" applyAlignment="1"/>
    <xf numFmtId="164" fontId="51" fillId="0" borderId="9" xfId="2" applyNumberFormat="1" applyFont="1" applyBorder="1"/>
    <xf numFmtId="164" fontId="51" fillId="0" borderId="9" xfId="2" applyNumberFormat="1" applyFont="1" applyBorder="1" applyAlignment="1">
      <alignment horizontal="center"/>
    </xf>
    <xf numFmtId="164" fontId="58" fillId="0" borderId="9" xfId="2" applyNumberFormat="1" applyFont="1" applyBorder="1" applyAlignment="1">
      <alignment horizontal="fill"/>
    </xf>
    <xf numFmtId="165" fontId="51" fillId="0" borderId="0" xfId="2" applyNumberFormat="1" applyFont="1" applyProtection="1"/>
    <xf numFmtId="165" fontId="51" fillId="0" borderId="0" xfId="2" applyNumberFormat="1" applyFont="1" applyAlignment="1"/>
    <xf numFmtId="171" fontId="9" fillId="0" borderId="0" xfId="2" applyNumberFormat="1" applyFont="1"/>
    <xf numFmtId="168" fontId="9" fillId="0" borderId="0" xfId="2" applyNumberFormat="1" applyFont="1"/>
    <xf numFmtId="164" fontId="9" fillId="0" borderId="0" xfId="2" quotePrefix="1" applyNumberFormat="1" applyFont="1"/>
    <xf numFmtId="170" fontId="51" fillId="0" borderId="0" xfId="2" applyNumberFormat="1" applyFont="1"/>
    <xf numFmtId="169" fontId="51" fillId="0" borderId="0" xfId="2" applyNumberFormat="1" applyFont="1" applyProtection="1"/>
    <xf numFmtId="164" fontId="51" fillId="7" borderId="0" xfId="2" applyNumberFormat="1" applyFont="1" applyFill="1" applyProtection="1"/>
    <xf numFmtId="164" fontId="64" fillId="0" borderId="0" xfId="2" applyNumberFormat="1" applyFont="1"/>
    <xf numFmtId="164" fontId="65" fillId="7" borderId="0" xfId="2" applyNumberFormat="1" applyFont="1" applyFill="1"/>
    <xf numFmtId="164" fontId="66" fillId="0" borderId="0" xfId="2" applyNumberFormat="1" applyFont="1" applyProtection="1"/>
    <xf numFmtId="164" fontId="51" fillId="0" borderId="0" xfId="2" applyNumberFormat="1" applyFont="1" applyAlignment="1">
      <alignment horizontal="left"/>
    </xf>
    <xf numFmtId="168" fontId="51" fillId="0" borderId="0" xfId="2" applyNumberFormat="1" applyFont="1" applyAlignment="1" applyProtection="1">
      <alignment horizontal="left"/>
    </xf>
    <xf numFmtId="169" fontId="51" fillId="0" borderId="0" xfId="2" applyNumberFormat="1" applyFont="1"/>
    <xf numFmtId="168" fontId="51" fillId="0" borderId="0" xfId="2" applyNumberFormat="1" applyFont="1"/>
    <xf numFmtId="170" fontId="51" fillId="0" borderId="0" xfId="2" applyNumberFormat="1" applyFont="1" applyProtection="1"/>
    <xf numFmtId="164" fontId="51" fillId="7" borderId="0" xfId="2" applyNumberFormat="1" applyFont="1" applyFill="1" applyAlignment="1" applyProtection="1">
      <alignment horizontal="left" wrapText="1"/>
    </xf>
    <xf numFmtId="164" fontId="63" fillId="4" borderId="0" xfId="2" applyNumberFormat="1" applyFont="1" applyFill="1" applyProtection="1"/>
    <xf numFmtId="164" fontId="61" fillId="0" borderId="0" xfId="2" applyNumberFormat="1" applyFont="1" applyAlignment="1">
      <alignment horizontal="left"/>
    </xf>
    <xf numFmtId="164" fontId="61" fillId="0" borderId="0" xfId="2" applyNumberFormat="1" applyFont="1" applyAlignment="1" applyProtection="1">
      <alignment horizontal="center"/>
    </xf>
    <xf numFmtId="164" fontId="63" fillId="7" borderId="0" xfId="2" applyNumberFormat="1" applyFont="1" applyFill="1"/>
    <xf numFmtId="164" fontId="61" fillId="0" borderId="0" xfId="2" applyNumberFormat="1" applyFont="1" applyAlignment="1">
      <alignment vertical="top" wrapText="1"/>
    </xf>
    <xf numFmtId="164" fontId="51" fillId="0" borderId="0" xfId="2" applyNumberFormat="1" applyFont="1" applyAlignment="1">
      <alignment vertical="top" wrapText="1"/>
    </xf>
    <xf numFmtId="164" fontId="65" fillId="6" borderId="0" xfId="2" applyNumberFormat="1" applyFont="1" applyFill="1"/>
    <xf numFmtId="164" fontId="65" fillId="0" borderId="0" xfId="2" applyNumberFormat="1" applyFont="1"/>
    <xf numFmtId="169" fontId="51" fillId="0" borderId="0" xfId="2" applyNumberFormat="1" applyFont="1" applyBorder="1" applyAlignment="1"/>
    <xf numFmtId="169" fontId="51" fillId="0" borderId="0" xfId="2" applyNumberFormat="1" applyFont="1" applyBorder="1"/>
    <xf numFmtId="164" fontId="51" fillId="0" borderId="0" xfId="2" applyNumberFormat="1" applyFont="1" applyFill="1" applyBorder="1"/>
    <xf numFmtId="164" fontId="51" fillId="0" borderId="0" xfId="2" applyNumberFormat="1" applyFont="1" applyFill="1" applyBorder="1" applyAlignment="1"/>
    <xf numFmtId="164" fontId="68" fillId="0" borderId="0" xfId="2" applyNumberFormat="1" applyFont="1" applyAlignment="1" applyProtection="1">
      <alignment horizontal="left"/>
    </xf>
    <xf numFmtId="164" fontId="69" fillId="0" borderId="0" xfId="2" applyNumberFormat="1" applyFont="1" applyAlignment="1"/>
    <xf numFmtId="164" fontId="69" fillId="0" borderId="0" xfId="2" applyNumberFormat="1" applyFont="1" applyAlignment="1" applyProtection="1">
      <alignment horizontal="left"/>
    </xf>
    <xf numFmtId="168" fontId="69" fillId="0" borderId="0" xfId="2" applyNumberFormat="1" applyFont="1"/>
    <xf numFmtId="164" fontId="69" fillId="0" borderId="0" xfId="2" applyNumberFormat="1" applyFont="1" applyAlignment="1">
      <alignment horizontal="left"/>
    </xf>
    <xf numFmtId="164" fontId="69" fillId="0" borderId="0" xfId="2" applyNumberFormat="1" applyFont="1"/>
    <xf numFmtId="164" fontId="70" fillId="7" borderId="0" xfId="2" applyNumberFormat="1" applyFont="1" applyFill="1" applyProtection="1"/>
    <xf numFmtId="168" fontId="69" fillId="0" borderId="0" xfId="2" applyNumberFormat="1" applyFont="1" applyAlignment="1" applyProtection="1">
      <alignment horizontal="left"/>
    </xf>
    <xf numFmtId="164" fontId="71" fillId="0" borderId="0" xfId="2" applyNumberFormat="1" applyFont="1" applyProtection="1"/>
    <xf numFmtId="164" fontId="72" fillId="0" borderId="0" xfId="2" applyNumberFormat="1" applyFont="1"/>
    <xf numFmtId="164" fontId="17" fillId="0" borderId="0" xfId="2" applyNumberFormat="1" applyFont="1" applyAlignment="1" applyProtection="1">
      <alignment horizontal="right"/>
    </xf>
    <xf numFmtId="164" fontId="73" fillId="0" borderId="0" xfId="2" applyNumberFormat="1" applyFont="1"/>
    <xf numFmtId="164" fontId="74" fillId="0" borderId="0" xfId="2" applyNumberFormat="1" applyFont="1"/>
    <xf numFmtId="164" fontId="26" fillId="7" borderId="0" xfId="2" applyNumberFormat="1" applyFont="1" applyFill="1"/>
    <xf numFmtId="165" fontId="8" fillId="0" borderId="0" xfId="2" applyNumberFormat="1" applyAlignment="1"/>
    <xf numFmtId="164" fontId="59" fillId="0" borderId="0" xfId="2" applyNumberFormat="1" applyFont="1" applyAlignment="1" applyProtection="1">
      <alignment horizontal="left"/>
    </xf>
    <xf numFmtId="165" fontId="61" fillId="0" borderId="0" xfId="2" applyNumberFormat="1" applyFont="1" applyAlignment="1">
      <alignment horizontal="right"/>
    </xf>
    <xf numFmtId="169" fontId="61" fillId="0" borderId="0" xfId="2" applyNumberFormat="1" applyFont="1" applyAlignment="1">
      <alignment horizontal="right"/>
    </xf>
    <xf numFmtId="164" fontId="8" fillId="0" borderId="0" xfId="2" applyNumberFormat="1" applyFont="1" applyAlignment="1">
      <alignment horizontal="right"/>
    </xf>
    <xf numFmtId="168" fontId="51" fillId="0" borderId="0" xfId="2" applyNumberFormat="1" applyFont="1" applyAlignment="1">
      <alignment horizontal="right"/>
    </xf>
    <xf numFmtId="168" fontId="61" fillId="0" borderId="0" xfId="2" applyNumberFormat="1" applyFont="1" applyAlignment="1" applyProtection="1">
      <alignment horizontal="right"/>
    </xf>
    <xf numFmtId="169" fontId="8" fillId="0" borderId="0" xfId="2" applyNumberFormat="1" applyAlignment="1">
      <alignment horizontal="right"/>
    </xf>
    <xf numFmtId="169" fontId="51" fillId="0" borderId="0" xfId="2" applyNumberFormat="1" applyFont="1" applyAlignment="1" applyProtection="1">
      <alignment horizontal="right"/>
    </xf>
    <xf numFmtId="169" fontId="61" fillId="0" borderId="0" xfId="2" applyNumberFormat="1" applyFont="1" applyAlignment="1" applyProtection="1">
      <alignment horizontal="right"/>
    </xf>
    <xf numFmtId="164" fontId="51" fillId="2" borderId="0" xfId="2" applyNumberFormat="1" applyFont="1" applyFill="1" applyAlignment="1" applyProtection="1">
      <alignment horizontal="left"/>
    </xf>
    <xf numFmtId="164" fontId="75" fillId="0" borderId="0" xfId="2" applyNumberFormat="1" applyFont="1" applyProtection="1"/>
    <xf numFmtId="164" fontId="51" fillId="0" borderId="0" xfId="2" quotePrefix="1" applyNumberFormat="1" applyFont="1" applyAlignment="1" applyProtection="1">
      <alignment horizontal="left"/>
    </xf>
    <xf numFmtId="164" fontId="51" fillId="6" borderId="0" xfId="2" applyNumberFormat="1" applyFont="1" applyFill="1" applyAlignment="1" applyProtection="1">
      <alignment horizontal="left"/>
    </xf>
    <xf numFmtId="170" fontId="51" fillId="0" borderId="0" xfId="2" applyNumberFormat="1" applyFont="1" applyAlignment="1">
      <alignment horizontal="right"/>
    </xf>
    <xf numFmtId="165" fontId="9" fillId="0" borderId="0" xfId="2" applyNumberFormat="1" applyFont="1"/>
    <xf numFmtId="164" fontId="8" fillId="7" borderId="0" xfId="2" applyNumberFormat="1" applyFill="1" applyAlignment="1" applyProtection="1">
      <alignment horizontal="left" wrapText="1"/>
    </xf>
    <xf numFmtId="164" fontId="65" fillId="0" borderId="0" xfId="2" applyNumberFormat="1" applyFont="1" applyProtection="1"/>
    <xf numFmtId="164" fontId="41" fillId="7" borderId="0" xfId="2" applyNumberFormat="1" applyFont="1" applyFill="1"/>
    <xf numFmtId="164" fontId="9" fillId="7" borderId="0" xfId="2" applyNumberFormat="1" applyFont="1" applyFill="1"/>
    <xf numFmtId="164" fontId="15" fillId="0" borderId="0" xfId="2" applyNumberFormat="1" applyFont="1"/>
    <xf numFmtId="164" fontId="63" fillId="7" borderId="0" xfId="2" applyNumberFormat="1" applyFont="1" applyFill="1" applyProtection="1"/>
    <xf numFmtId="165" fontId="51" fillId="0" borderId="0" xfId="2" applyNumberFormat="1" applyFont="1" applyAlignment="1" applyProtection="1">
      <alignment horizontal="right"/>
    </xf>
    <xf numFmtId="164" fontId="76" fillId="6" borderId="0" xfId="2" applyNumberFormat="1" applyFont="1" applyFill="1" applyAlignment="1" applyProtection="1">
      <alignment horizontal="right"/>
    </xf>
    <xf numFmtId="164" fontId="76" fillId="0" borderId="0" xfId="2" applyNumberFormat="1" applyFont="1" applyAlignment="1" applyProtection="1">
      <alignment horizontal="right"/>
    </xf>
    <xf numFmtId="166" fontId="9" fillId="0" borderId="0" xfId="2" applyNumberFormat="1" applyFont="1" applyAlignment="1">
      <alignment vertical="center"/>
    </xf>
    <xf numFmtId="2" fontId="53" fillId="0" borderId="0" xfId="6" applyNumberFormat="1" applyFont="1" applyBorder="1" applyAlignment="1">
      <alignment vertical="top" wrapText="1"/>
    </xf>
    <xf numFmtId="164" fontId="34" fillId="11" borderId="0" xfId="2" applyNumberFormat="1" applyFont="1" applyFill="1"/>
    <xf numFmtId="164" fontId="8" fillId="0" borderId="0" xfId="2" applyNumberFormat="1" applyAlignment="1">
      <alignment horizontal="fill"/>
    </xf>
    <xf numFmtId="164" fontId="58" fillId="0" borderId="0" xfId="2" applyNumberFormat="1" applyFont="1"/>
    <xf numFmtId="164" fontId="58" fillId="0" borderId="0" xfId="2" applyNumberFormat="1" applyFont="1" applyAlignment="1"/>
    <xf numFmtId="164" fontId="58" fillId="0" borderId="0" xfId="2" applyNumberFormat="1" applyFont="1" applyAlignment="1">
      <alignment horizontal="left"/>
    </xf>
    <xf numFmtId="164" fontId="79" fillId="0" borderId="0" xfId="2" applyNumberFormat="1" applyFont="1"/>
    <xf numFmtId="164" fontId="59" fillId="0" borderId="0" xfId="2" applyNumberFormat="1" applyFont="1"/>
    <xf numFmtId="164" fontId="80" fillId="0" borderId="0" xfId="2" applyNumberFormat="1" applyFont="1"/>
    <xf numFmtId="165" fontId="58" fillId="0" borderId="0" xfId="2" applyNumberFormat="1" applyFont="1"/>
    <xf numFmtId="165" fontId="79" fillId="0" borderId="0" xfId="2" applyNumberFormat="1" applyFont="1"/>
    <xf numFmtId="164" fontId="79" fillId="0" borderId="0" xfId="2" applyNumberFormat="1" applyFont="1" applyAlignment="1"/>
    <xf numFmtId="164" fontId="13" fillId="0" borderId="0" xfId="2" applyNumberFormat="1" applyFont="1" applyAlignment="1" applyProtection="1">
      <alignment vertical="center"/>
    </xf>
    <xf numFmtId="164" fontId="81" fillId="7" borderId="0" xfId="2" applyNumberFormat="1" applyFont="1" applyFill="1" applyProtection="1"/>
    <xf numFmtId="164" fontId="26" fillId="0" borderId="0" xfId="2" applyNumberFormat="1" applyFont="1" applyAlignment="1" applyProtection="1">
      <alignment vertical="center"/>
    </xf>
    <xf numFmtId="164" fontId="82" fillId="0" borderId="0" xfId="2" applyNumberFormat="1" applyFont="1"/>
    <xf numFmtId="164" fontId="54" fillId="0" borderId="0" xfId="2" applyNumberFormat="1" applyFont="1" applyAlignment="1"/>
    <xf numFmtId="164" fontId="54" fillId="0" borderId="0" xfId="2" applyNumberFormat="1" applyFont="1" applyAlignment="1">
      <alignment horizontal="center"/>
    </xf>
    <xf numFmtId="164" fontId="53" fillId="0" borderId="0" xfId="2" applyNumberFormat="1" applyFont="1" applyAlignment="1" applyProtection="1">
      <alignment horizontal="left" wrapText="1"/>
    </xf>
    <xf numFmtId="169" fontId="53" fillId="0" borderId="0" xfId="2" applyNumberFormat="1" applyFont="1" applyAlignment="1" applyProtection="1">
      <alignment horizontal="right"/>
    </xf>
    <xf numFmtId="164" fontId="9" fillId="0" borderId="0" xfId="2" applyNumberFormat="1" applyFont="1" applyAlignment="1" applyProtection="1">
      <alignment horizontal="center" wrapText="1"/>
    </xf>
    <xf numFmtId="164" fontId="58" fillId="0" borderId="0" xfId="2" applyNumberFormat="1" applyFont="1" applyProtection="1"/>
    <xf numFmtId="0" fontId="8" fillId="0" borderId="0" xfId="2" applyNumberFormat="1"/>
    <xf numFmtId="169" fontId="83" fillId="4" borderId="0" xfId="2" applyNumberFormat="1" applyFont="1" applyFill="1" applyProtection="1"/>
    <xf numFmtId="0" fontId="84" fillId="10" borderId="0" xfId="2" applyNumberFormat="1" applyFont="1" applyFill="1" applyBorder="1" applyAlignment="1">
      <alignment vertical="top" wrapText="1"/>
    </xf>
    <xf numFmtId="0" fontId="86" fillId="0" borderId="0" xfId="2" applyNumberFormat="1" applyFont="1"/>
    <xf numFmtId="164" fontId="64" fillId="0" borderId="0" xfId="2" applyNumberFormat="1" applyFont="1" applyAlignment="1"/>
    <xf numFmtId="164" fontId="64" fillId="0" borderId="0" xfId="2" applyNumberFormat="1" applyFont="1" applyAlignment="1" applyProtection="1">
      <alignment horizontal="left"/>
    </xf>
    <xf numFmtId="2" fontId="86" fillId="0" borderId="0" xfId="2" applyNumberFormat="1" applyFont="1"/>
    <xf numFmtId="0" fontId="8" fillId="0" borderId="0" xfId="2" applyNumberFormat="1" applyBorder="1"/>
    <xf numFmtId="0" fontId="86" fillId="0" borderId="0" xfId="2" applyNumberFormat="1" applyFont="1" applyBorder="1"/>
    <xf numFmtId="164" fontId="64" fillId="0" borderId="0" xfId="2" applyNumberFormat="1" applyFont="1" applyBorder="1"/>
    <xf numFmtId="164" fontId="64" fillId="0" borderId="0" xfId="2" applyNumberFormat="1" applyFont="1" applyBorder="1" applyAlignment="1" applyProtection="1">
      <alignment horizontal="left"/>
    </xf>
    <xf numFmtId="164" fontId="75" fillId="0" borderId="0" xfId="2" applyNumberFormat="1" applyFont="1" applyBorder="1"/>
    <xf numFmtId="164" fontId="64" fillId="0" borderId="0" xfId="2" applyNumberFormat="1" applyFont="1" applyBorder="1" applyAlignment="1"/>
    <xf numFmtId="0" fontId="8" fillId="0" borderId="0" xfId="2" applyNumberFormat="1" applyBorder="1" applyAlignment="1">
      <alignment wrapText="1"/>
    </xf>
    <xf numFmtId="0" fontId="86" fillId="0" borderId="0" xfId="2" applyNumberFormat="1" applyFont="1" applyBorder="1" applyAlignment="1">
      <alignment horizontal="right"/>
    </xf>
    <xf numFmtId="164" fontId="87" fillId="0" borderId="0" xfId="2" applyNumberFormat="1" applyFont="1" applyBorder="1"/>
    <xf numFmtId="0" fontId="88" fillId="0" borderId="0" xfId="2" applyNumberFormat="1" applyFont="1"/>
    <xf numFmtId="164" fontId="87" fillId="0" borderId="0" xfId="2" applyNumberFormat="1" applyFont="1" applyAlignment="1" applyProtection="1">
      <alignment horizontal="left"/>
    </xf>
    <xf numFmtId="164" fontId="64" fillId="0" borderId="0" xfId="2" applyNumberFormat="1" applyFont="1" applyAlignment="1">
      <alignment horizontal="left"/>
    </xf>
    <xf numFmtId="164" fontId="89" fillId="0" borderId="0" xfId="2" applyNumberFormat="1" applyFont="1" applyAlignment="1"/>
    <xf numFmtId="164" fontId="90" fillId="0" borderId="0" xfId="2" applyNumberFormat="1" applyFont="1" applyAlignment="1"/>
    <xf numFmtId="164" fontId="13" fillId="0" borderId="0" xfId="2" applyNumberFormat="1" applyFont="1" applyAlignment="1">
      <alignment wrapText="1"/>
    </xf>
    <xf numFmtId="164" fontId="75" fillId="0" borderId="0" xfId="2" applyNumberFormat="1" applyFont="1"/>
    <xf numFmtId="165" fontId="64" fillId="0" borderId="0" xfId="2" applyNumberFormat="1" applyFont="1"/>
    <xf numFmtId="164" fontId="64" fillId="0" borderId="0" xfId="2" applyNumberFormat="1" applyFont="1" applyAlignment="1">
      <alignment horizontal="right"/>
    </xf>
    <xf numFmtId="164" fontId="87" fillId="0" borderId="0" xfId="2" applyNumberFormat="1" applyFont="1"/>
    <xf numFmtId="164" fontId="86" fillId="0" borderId="0" xfId="2" applyNumberFormat="1" applyFont="1"/>
    <xf numFmtId="164" fontId="86" fillId="0" borderId="0" xfId="2" applyNumberFormat="1" applyFont="1" applyAlignment="1">
      <alignment horizontal="left"/>
    </xf>
    <xf numFmtId="164" fontId="86" fillId="0" borderId="0" xfId="2" applyNumberFormat="1" applyFont="1" applyAlignment="1" applyProtection="1">
      <alignment horizontal="left"/>
    </xf>
    <xf numFmtId="0" fontId="86" fillId="0" borderId="0" xfId="2" applyNumberFormat="1" applyFont="1" applyAlignment="1">
      <alignment horizontal="center"/>
    </xf>
    <xf numFmtId="164" fontId="83" fillId="4" borderId="0" xfId="2" applyNumberFormat="1" applyFont="1" applyFill="1" applyAlignment="1" applyProtection="1"/>
    <xf numFmtId="164" fontId="83" fillId="4" borderId="0" xfId="2" applyNumberFormat="1" applyFont="1" applyFill="1" applyAlignment="1" applyProtection="1">
      <alignment horizontal="left"/>
    </xf>
    <xf numFmtId="164" fontId="91" fillId="4" borderId="0" xfId="2" applyNumberFormat="1" applyFont="1" applyFill="1" applyAlignment="1"/>
    <xf numFmtId="164" fontId="91" fillId="4" borderId="0" xfId="2" applyNumberFormat="1" applyFont="1" applyFill="1"/>
    <xf numFmtId="164" fontId="83" fillId="4" borderId="0" xfId="2" applyNumberFormat="1" applyFont="1" applyFill="1"/>
    <xf numFmtId="164" fontId="83" fillId="4" borderId="0" xfId="2" applyNumberFormat="1" applyFont="1" applyFill="1" applyAlignment="1" applyProtection="1">
      <alignment horizontal="right"/>
    </xf>
    <xf numFmtId="164" fontId="8" fillId="6" borderId="0" xfId="2" applyNumberFormat="1" applyFont="1" applyFill="1"/>
    <xf numFmtId="164" fontId="57" fillId="0" borderId="0" xfId="2" applyNumberFormat="1" applyFont="1"/>
    <xf numFmtId="169" fontId="86" fillId="0" borderId="0" xfId="2" applyNumberFormat="1" applyFont="1" applyAlignment="1">
      <alignment vertical="top"/>
    </xf>
    <xf numFmtId="169" fontId="92" fillId="0" borderId="0" xfId="2" applyNumberFormat="1" applyFont="1" applyAlignment="1">
      <alignment horizontal="right"/>
    </xf>
    <xf numFmtId="169" fontId="51" fillId="0" borderId="0" xfId="2" applyNumberFormat="1" applyFont="1" applyAlignment="1">
      <alignment horizontal="center"/>
    </xf>
    <xf numFmtId="164" fontId="61" fillId="0" borderId="0" xfId="2" applyNumberFormat="1" applyFont="1" applyAlignment="1">
      <alignment vertical="top"/>
    </xf>
    <xf numFmtId="0" fontId="97" fillId="0" borderId="0" xfId="16" applyFont="1" applyBorder="1"/>
    <xf numFmtId="0" fontId="99" fillId="0" borderId="12" xfId="16" applyFont="1" applyBorder="1" applyAlignment="1">
      <alignment horizontal="center" vertical="center"/>
    </xf>
    <xf numFmtId="2" fontId="99" fillId="0" borderId="12" xfId="16" applyNumberFormat="1" applyFont="1" applyBorder="1" applyAlignment="1">
      <alignment horizontal="center" vertical="center"/>
    </xf>
    <xf numFmtId="0" fontId="99" fillId="0" borderId="13" xfId="16" applyFont="1" applyBorder="1" applyAlignment="1">
      <alignment horizontal="center" vertical="center"/>
    </xf>
    <xf numFmtId="2" fontId="97" fillId="0" borderId="12" xfId="16" applyNumberFormat="1" applyFont="1" applyBorder="1" applyAlignment="1">
      <alignment horizontal="center" vertical="center"/>
    </xf>
    <xf numFmtId="2" fontId="101" fillId="0" borderId="13" xfId="16" applyNumberFormat="1" applyFont="1" applyFill="1" applyBorder="1" applyAlignment="1">
      <alignment horizontal="right" vertical="center"/>
    </xf>
    <xf numFmtId="0" fontId="97" fillId="0" borderId="12" xfId="16" applyFont="1" applyBorder="1" applyAlignment="1">
      <alignment horizontal="left" vertical="center" wrapText="1"/>
    </xf>
    <xf numFmtId="2" fontId="100" fillId="0" borderId="13" xfId="16" applyNumberFormat="1" applyFont="1" applyFill="1" applyBorder="1" applyAlignment="1">
      <alignment horizontal="right" vertical="center"/>
    </xf>
    <xf numFmtId="2" fontId="99" fillId="0" borderId="13" xfId="16" applyNumberFormat="1" applyFont="1" applyBorder="1" applyAlignment="1">
      <alignment horizontal="right" vertical="center"/>
    </xf>
    <xf numFmtId="2" fontId="101" fillId="0" borderId="12" xfId="20" applyNumberFormat="1" applyFont="1" applyFill="1" applyBorder="1" applyAlignment="1">
      <alignment horizontal="center" vertical="center"/>
    </xf>
    <xf numFmtId="0" fontId="101" fillId="0" borderId="0" xfId="20" applyFont="1" applyFill="1" applyBorder="1"/>
    <xf numFmtId="2" fontId="101" fillId="0" borderId="12" xfId="17" applyNumberFormat="1" applyFont="1" applyFill="1" applyBorder="1" applyAlignment="1">
      <alignment vertical="top" wrapText="1"/>
    </xf>
    <xf numFmtId="2" fontId="99" fillId="2" borderId="12" xfId="17" applyNumberFormat="1" applyFont="1" applyFill="1" applyBorder="1" applyAlignment="1">
      <alignment vertical="center" wrapText="1"/>
    </xf>
    <xf numFmtId="164" fontId="101" fillId="0" borderId="0" xfId="12" applyFont="1"/>
    <xf numFmtId="0" fontId="97" fillId="0" borderId="12" xfId="16" applyFont="1" applyBorder="1"/>
    <xf numFmtId="164" fontId="101" fillId="0" borderId="12" xfId="12" applyFont="1" applyBorder="1" applyAlignment="1">
      <alignment horizontal="center"/>
    </xf>
    <xf numFmtId="2" fontId="100" fillId="0" borderId="12" xfId="17" applyNumberFormat="1" applyFont="1" applyFill="1" applyBorder="1" applyAlignment="1">
      <alignment vertical="top" wrapText="1"/>
    </xf>
    <xf numFmtId="0" fontId="101" fillId="0" borderId="12" xfId="16" applyNumberFormat="1" applyFont="1" applyFill="1" applyBorder="1" applyAlignment="1">
      <alignment horizontal="left" vertical="center" wrapText="1"/>
    </xf>
    <xf numFmtId="164" fontId="100" fillId="0" borderId="12" xfId="12" applyFont="1" applyFill="1" applyBorder="1" applyAlignment="1">
      <alignment horizontal="right"/>
    </xf>
    <xf numFmtId="164" fontId="101" fillId="0" borderId="12" xfId="12" applyFont="1" applyFill="1" applyBorder="1" applyAlignment="1">
      <alignment horizontal="center"/>
    </xf>
    <xf numFmtId="164" fontId="100" fillId="0" borderId="12" xfId="12" applyFont="1" applyFill="1" applyBorder="1" applyAlignment="1">
      <alignment horizontal="center"/>
    </xf>
    <xf numFmtId="0" fontId="97" fillId="0" borderId="12" xfId="16" applyFont="1" applyBorder="1" applyAlignment="1">
      <alignment vertical="center"/>
    </xf>
    <xf numFmtId="0" fontId="97" fillId="0" borderId="12" xfId="16" applyFont="1" applyBorder="1" applyAlignment="1">
      <alignment horizontal="left" wrapText="1"/>
    </xf>
    <xf numFmtId="2" fontId="100" fillId="0" borderId="1" xfId="17" applyNumberFormat="1" applyFont="1" applyFill="1" applyBorder="1" applyAlignment="1">
      <alignment vertical="top" wrapText="1"/>
    </xf>
    <xf numFmtId="2" fontId="97" fillId="0" borderId="12" xfId="16" applyNumberFormat="1" applyFont="1" applyBorder="1" applyAlignment="1">
      <alignment horizontal="right" vertical="center"/>
    </xf>
    <xf numFmtId="2" fontId="99" fillId="0" borderId="12" xfId="16" applyNumberFormat="1" applyFont="1" applyBorder="1" applyAlignment="1">
      <alignment horizontal="right" vertical="center"/>
    </xf>
    <xf numFmtId="2" fontId="97" fillId="0" borderId="0" xfId="16" applyNumberFormat="1" applyFont="1" applyBorder="1" applyAlignment="1">
      <alignment horizontal="center" vertical="center"/>
    </xf>
    <xf numFmtId="2" fontId="97" fillId="0" borderId="0" xfId="16" applyNumberFormat="1" applyFont="1" applyBorder="1" applyAlignment="1">
      <alignment horizontal="right" vertical="center"/>
    </xf>
    <xf numFmtId="0" fontId="97" fillId="0" borderId="0" xfId="16" applyFont="1" applyBorder="1" applyAlignment="1">
      <alignment horizontal="center" vertical="center"/>
    </xf>
    <xf numFmtId="0" fontId="97" fillId="0" borderId="0" xfId="16" applyFont="1" applyBorder="1" applyAlignment="1">
      <alignment horizontal="right" vertical="center"/>
    </xf>
    <xf numFmtId="164" fontId="100" fillId="10" borderId="0" xfId="16" applyNumberFormat="1" applyFont="1" applyFill="1" applyBorder="1" applyAlignment="1">
      <alignment horizontal="center" vertical="center" wrapText="1"/>
    </xf>
    <xf numFmtId="164" fontId="101" fillId="0" borderId="0" xfId="16" applyNumberFormat="1" applyFont="1"/>
    <xf numFmtId="164" fontId="100" fillId="0" borderId="12" xfId="16" applyNumberFormat="1" applyFont="1" applyBorder="1" applyAlignment="1">
      <alignment horizontal="center" vertical="center"/>
    </xf>
    <xf numFmtId="2" fontId="100" fillId="0" borderId="12" xfId="16" applyNumberFormat="1" applyFont="1" applyBorder="1" applyAlignment="1">
      <alignment horizontal="center" vertical="center"/>
    </xf>
    <xf numFmtId="2" fontId="101" fillId="0" borderId="12" xfId="16" applyNumberFormat="1" applyFont="1" applyBorder="1" applyAlignment="1">
      <alignment horizontal="right" vertical="center"/>
    </xf>
    <xf numFmtId="2" fontId="101" fillId="0" borderId="12" xfId="16" applyNumberFormat="1" applyFont="1" applyBorder="1" applyAlignment="1">
      <alignment horizontal="center" vertical="center"/>
    </xf>
    <xf numFmtId="2" fontId="100" fillId="0" borderId="12" xfId="16" applyNumberFormat="1" applyFont="1" applyBorder="1" applyAlignment="1">
      <alignment vertical="center"/>
    </xf>
    <xf numFmtId="0" fontId="101" fillId="0" borderId="12" xfId="22" applyFont="1" applyBorder="1" applyAlignment="1">
      <alignment horizontal="left" vertical="center"/>
    </xf>
    <xf numFmtId="2" fontId="101" fillId="0" borderId="12" xfId="16" applyNumberFormat="1" applyFont="1" applyBorder="1" applyAlignment="1">
      <alignment vertical="center"/>
    </xf>
    <xf numFmtId="2" fontId="106" fillId="0" borderId="12" xfId="17" applyNumberFormat="1" applyFont="1" applyFill="1" applyBorder="1" applyAlignment="1">
      <alignment horizontal="center" vertical="center" wrapText="1"/>
    </xf>
    <xf numFmtId="2" fontId="105" fillId="0" borderId="12" xfId="17" applyNumberFormat="1" applyFont="1" applyFill="1" applyBorder="1" applyAlignment="1">
      <alignment horizontal="center" vertical="center" wrapText="1"/>
    </xf>
    <xf numFmtId="172" fontId="101" fillId="0" borderId="12" xfId="17" applyNumberFormat="1" applyFont="1" applyBorder="1" applyAlignment="1">
      <alignment horizontal="left" vertical="center" wrapText="1"/>
    </xf>
    <xf numFmtId="2" fontId="108" fillId="0" borderId="12" xfId="16" applyNumberFormat="1" applyFont="1" applyBorder="1" applyAlignment="1">
      <alignment horizontal="center" vertical="center"/>
    </xf>
    <xf numFmtId="164" fontId="101" fillId="0" borderId="0" xfId="16" applyNumberFormat="1" applyFont="1" applyBorder="1" applyAlignment="1">
      <alignment horizontal="center" vertical="center"/>
    </xf>
    <xf numFmtId="164" fontId="101" fillId="0" borderId="0" xfId="16" applyNumberFormat="1" applyFont="1" applyBorder="1" applyAlignment="1">
      <alignment horizontal="left" vertical="center"/>
    </xf>
    <xf numFmtId="164" fontId="101" fillId="0" borderId="0" xfId="16" applyNumberFormat="1" applyFont="1" applyBorder="1" applyAlignment="1">
      <alignment vertical="center"/>
    </xf>
    <xf numFmtId="2" fontId="101" fillId="0" borderId="0" xfId="16" applyNumberFormat="1" applyFont="1" applyBorder="1" applyAlignment="1">
      <alignment vertical="center"/>
    </xf>
    <xf numFmtId="164" fontId="101" fillId="0" borderId="0" xfId="16" applyNumberFormat="1" applyFont="1" applyAlignment="1">
      <alignment horizontal="center" vertical="center"/>
    </xf>
    <xf numFmtId="164" fontId="101" fillId="0" borderId="0" xfId="16" applyNumberFormat="1" applyFont="1" applyAlignment="1">
      <alignment horizontal="left" vertical="center"/>
    </xf>
    <xf numFmtId="164" fontId="101" fillId="0" borderId="0" xfId="16" applyNumberFormat="1" applyFont="1" applyAlignment="1">
      <alignment vertical="center"/>
    </xf>
    <xf numFmtId="2" fontId="101" fillId="0" borderId="0" xfId="16" applyNumberFormat="1" applyFont="1" applyAlignment="1">
      <alignment vertical="center"/>
    </xf>
    <xf numFmtId="0" fontId="99" fillId="0" borderId="12" xfId="0" applyFont="1" applyBorder="1" applyAlignment="1">
      <alignment horizontal="left" wrapText="1"/>
    </xf>
    <xf numFmtId="2" fontId="101" fillId="0" borderId="12" xfId="19" applyNumberFormat="1" applyFont="1" applyBorder="1" applyAlignment="1">
      <alignment horizontal="left" vertical="center" wrapText="1"/>
    </xf>
    <xf numFmtId="173" fontId="97" fillId="0" borderId="12" xfId="16" applyNumberFormat="1" applyFont="1" applyBorder="1" applyAlignment="1">
      <alignment horizontal="center" vertical="center"/>
    </xf>
    <xf numFmtId="0" fontId="99" fillId="0" borderId="12" xfId="16" applyFont="1" applyBorder="1" applyAlignment="1">
      <alignment horizontal="center"/>
    </xf>
    <xf numFmtId="0" fontId="100" fillId="0" borderId="12" xfId="16" applyNumberFormat="1" applyFont="1" applyFill="1" applyBorder="1" applyAlignment="1">
      <alignment horizontal="center"/>
    </xf>
    <xf numFmtId="0" fontId="100" fillId="0" borderId="12" xfId="20" applyFont="1" applyFill="1" applyBorder="1" applyAlignment="1">
      <alignment horizontal="center"/>
    </xf>
    <xf numFmtId="164" fontId="100" fillId="0" borderId="12" xfId="12" applyFont="1" applyFill="1" applyBorder="1" applyAlignment="1">
      <alignment horizontal="center" vertical="center"/>
    </xf>
    <xf numFmtId="0" fontId="99" fillId="0" borderId="0" xfId="16" applyFont="1" applyBorder="1" applyAlignment="1">
      <alignment horizontal="center"/>
    </xf>
    <xf numFmtId="0" fontId="99" fillId="0" borderId="12" xfId="0" applyFont="1" applyBorder="1" applyAlignment="1">
      <alignment horizontal="left" vertical="center" wrapText="1"/>
    </xf>
    <xf numFmtId="0" fontId="97" fillId="0" borderId="12" xfId="0" applyFont="1" applyBorder="1" applyAlignment="1">
      <alignment horizontal="center" vertical="center"/>
    </xf>
    <xf numFmtId="0" fontId="97" fillId="0" borderId="0" xfId="0" applyFont="1" applyBorder="1"/>
    <xf numFmtId="2" fontId="100" fillId="0" borderId="1" xfId="17" applyNumberFormat="1" applyFont="1" applyFill="1" applyBorder="1" applyAlignment="1">
      <alignment horizontal="left" vertical="top" wrapText="1"/>
    </xf>
    <xf numFmtId="1" fontId="97" fillId="0" borderId="12" xfId="16" applyNumberFormat="1" applyFont="1" applyFill="1" applyBorder="1" applyAlignment="1">
      <alignment horizontal="center" vertical="center" wrapText="1"/>
    </xf>
    <xf numFmtId="1" fontId="97" fillId="0" borderId="12" xfId="16" applyNumberFormat="1" applyFont="1" applyBorder="1" applyAlignment="1">
      <alignment horizontal="center" vertical="center"/>
    </xf>
    <xf numFmtId="1" fontId="101" fillId="0" borderId="12" xfId="20" applyNumberFormat="1" applyFont="1" applyFill="1" applyBorder="1" applyAlignment="1">
      <alignment horizontal="center" vertical="center"/>
    </xf>
    <xf numFmtId="1" fontId="101" fillId="0" borderId="12" xfId="12" applyNumberFormat="1" applyFont="1" applyFill="1" applyBorder="1" applyAlignment="1">
      <alignment horizontal="center"/>
    </xf>
    <xf numFmtId="1" fontId="101" fillId="0" borderId="12" xfId="12" applyNumberFormat="1" applyFont="1" applyBorder="1" applyAlignment="1">
      <alignment horizontal="center"/>
    </xf>
    <xf numFmtId="1" fontId="97" fillId="0" borderId="0" xfId="16" applyNumberFormat="1" applyFont="1" applyBorder="1" applyAlignment="1">
      <alignment horizontal="center" vertical="center"/>
    </xf>
    <xf numFmtId="0" fontId="100" fillId="0" borderId="12" xfId="0" applyNumberFormat="1" applyFont="1" applyFill="1" applyBorder="1" applyAlignment="1">
      <alignment horizontal="left" vertical="center" wrapText="1"/>
    </xf>
    <xf numFmtId="2" fontId="97" fillId="2" borderId="12" xfId="17" applyNumberFormat="1" applyFont="1" applyFill="1" applyBorder="1" applyAlignment="1">
      <alignment vertical="center" wrapText="1"/>
    </xf>
    <xf numFmtId="164" fontId="101" fillId="0" borderId="12" xfId="12" applyFont="1" applyBorder="1" applyAlignment="1">
      <alignment horizontal="center" wrapText="1"/>
    </xf>
    <xf numFmtId="164" fontId="101" fillId="0" borderId="12" xfId="12" applyFont="1" applyBorder="1" applyAlignment="1">
      <alignment horizontal="center" vertical="center" wrapText="1"/>
    </xf>
    <xf numFmtId="12" fontId="97" fillId="0" borderId="12" xfId="16" applyNumberFormat="1" applyFont="1" applyFill="1" applyBorder="1" applyAlignment="1">
      <alignment horizontal="center" vertical="center" wrapText="1"/>
    </xf>
    <xf numFmtId="2" fontId="101" fillId="0" borderId="13" xfId="16" applyNumberFormat="1" applyFont="1" applyFill="1" applyBorder="1" applyAlignment="1">
      <alignment vertical="center"/>
    </xf>
    <xf numFmtId="12" fontId="101" fillId="0" borderId="12" xfId="12" applyNumberFormat="1" applyFont="1" applyFill="1" applyBorder="1" applyAlignment="1">
      <alignment horizontal="center"/>
    </xf>
    <xf numFmtId="2" fontId="100" fillId="0" borderId="13" xfId="16" applyNumberFormat="1" applyFont="1" applyFill="1" applyBorder="1" applyAlignment="1">
      <alignment vertical="center"/>
    </xf>
    <xf numFmtId="164" fontId="100" fillId="0" borderId="12" xfId="0" applyNumberFormat="1" applyFont="1" applyFill="1" applyBorder="1" applyAlignment="1">
      <alignment vertical="center" wrapText="1"/>
    </xf>
    <xf numFmtId="2" fontId="100" fillId="0" borderId="12" xfId="5" applyNumberFormat="1" applyFont="1" applyFill="1" applyBorder="1" applyAlignment="1">
      <alignment horizontal="justify" vertical="center" wrapText="1"/>
    </xf>
    <xf numFmtId="2" fontId="101" fillId="0" borderId="12" xfId="16" applyNumberFormat="1" applyFont="1" applyFill="1" applyBorder="1" applyAlignment="1">
      <alignment vertical="center"/>
    </xf>
    <xf numFmtId="164" fontId="110" fillId="0" borderId="12" xfId="0" applyNumberFormat="1" applyFont="1" applyBorder="1" applyAlignment="1">
      <alignment vertical="center" wrapText="1"/>
    </xf>
    <xf numFmtId="2" fontId="100" fillId="0" borderId="12" xfId="16" applyNumberFormat="1" applyFont="1" applyFill="1" applyBorder="1" applyAlignment="1">
      <alignment vertical="center"/>
    </xf>
    <xf numFmtId="0" fontId="99" fillId="0" borderId="12" xfId="16" applyFont="1" applyBorder="1"/>
    <xf numFmtId="2" fontId="111" fillId="0" borderId="12" xfId="16" applyNumberFormat="1" applyFont="1" applyBorder="1" applyAlignment="1">
      <alignment horizontal="center" vertical="center"/>
    </xf>
    <xf numFmtId="2" fontId="100" fillId="0" borderId="12" xfId="19" applyNumberFormat="1" applyFont="1" applyBorder="1" applyAlignment="1">
      <alignment horizontal="left" vertical="center" wrapText="1"/>
    </xf>
    <xf numFmtId="0" fontId="99" fillId="0" borderId="12" xfId="16" applyFont="1" applyBorder="1" applyAlignment="1">
      <alignment horizontal="left" vertical="center" wrapText="1"/>
    </xf>
    <xf numFmtId="2" fontId="100" fillId="0" borderId="12" xfId="17" applyNumberFormat="1" applyFont="1" applyFill="1" applyBorder="1" applyAlignment="1">
      <alignment horizontal="left" vertical="top" wrapText="1"/>
    </xf>
    <xf numFmtId="2" fontId="97" fillId="0" borderId="12" xfId="0" applyNumberFormat="1" applyFont="1" applyBorder="1" applyAlignment="1">
      <alignment horizontal="center" vertical="center"/>
    </xf>
    <xf numFmtId="2" fontId="110" fillId="0" borderId="12" xfId="17" applyNumberFormat="1" applyFont="1" applyFill="1" applyBorder="1" applyAlignment="1">
      <alignment vertical="top" wrapText="1"/>
    </xf>
    <xf numFmtId="0" fontId="99" fillId="0" borderId="12" xfId="0" applyFont="1" applyBorder="1" applyAlignment="1">
      <alignment wrapText="1"/>
    </xf>
    <xf numFmtId="2" fontId="97" fillId="0" borderId="12" xfId="0" applyNumberFormat="1" applyFont="1" applyBorder="1" applyAlignment="1">
      <alignment horizontal="left" vertical="center" wrapText="1"/>
    </xf>
    <xf numFmtId="0" fontId="97" fillId="0" borderId="12" xfId="0" applyFont="1" applyBorder="1" applyAlignment="1">
      <alignment wrapText="1"/>
    </xf>
    <xf numFmtId="0" fontId="97" fillId="0" borderId="12" xfId="0" applyFont="1" applyFill="1" applyBorder="1" applyAlignment="1">
      <alignment horizontal="center" vertical="center" wrapText="1"/>
    </xf>
    <xf numFmtId="2" fontId="97" fillId="0" borderId="12" xfId="0" applyNumberFormat="1" applyFont="1" applyBorder="1" applyAlignment="1">
      <alignment horizontal="center"/>
    </xf>
    <xf numFmtId="0" fontId="99" fillId="0" borderId="12" xfId="16" applyFont="1" applyBorder="1" applyAlignment="1">
      <alignment wrapText="1"/>
    </xf>
    <xf numFmtId="0" fontId="100" fillId="0" borderId="12" xfId="0" applyNumberFormat="1" applyFont="1" applyFill="1" applyBorder="1" applyAlignment="1">
      <alignment horizontal="justify" vertical="center" wrapText="1"/>
    </xf>
    <xf numFmtId="0" fontId="97" fillId="0" borderId="12" xfId="16" applyFont="1" applyBorder="1" applyAlignment="1">
      <alignment horizontal="center"/>
    </xf>
    <xf numFmtId="0" fontId="101" fillId="0" borderId="12" xfId="0" applyNumberFormat="1" applyFont="1" applyFill="1" applyBorder="1" applyAlignment="1">
      <alignment horizontal="center" vertical="center" wrapText="1"/>
    </xf>
    <xf numFmtId="0" fontId="101" fillId="0" borderId="12" xfId="0" applyNumberFormat="1" applyFont="1" applyFill="1" applyBorder="1" applyAlignment="1">
      <alignment horizontal="left" vertical="center" wrapText="1"/>
    </xf>
    <xf numFmtId="0" fontId="101" fillId="0" borderId="12" xfId="0" applyNumberFormat="1" applyFont="1" applyFill="1" applyBorder="1" applyAlignment="1">
      <alignment horizontal="center" vertical="center"/>
    </xf>
    <xf numFmtId="2" fontId="101" fillId="0" borderId="12" xfId="0" applyNumberFormat="1" applyFont="1" applyFill="1" applyBorder="1" applyAlignment="1">
      <alignment horizontal="center" vertical="center"/>
    </xf>
    <xf numFmtId="0" fontId="101" fillId="0" borderId="12" xfId="0" applyNumberFormat="1" applyFont="1" applyFill="1" applyBorder="1" applyAlignment="1">
      <alignment horizontal="left" vertical="center"/>
    </xf>
    <xf numFmtId="0" fontId="101" fillId="0" borderId="0" xfId="0" applyNumberFormat="1" applyFont="1" applyFill="1" applyAlignment="1">
      <alignment vertical="center"/>
    </xf>
    <xf numFmtId="2" fontId="100" fillId="0" borderId="12" xfId="0" applyNumberFormat="1" applyFont="1" applyFill="1" applyBorder="1" applyAlignment="1">
      <alignment horizontal="center" vertical="center"/>
    </xf>
    <xf numFmtId="0" fontId="101" fillId="0" borderId="12" xfId="0" applyNumberFormat="1" applyFont="1" applyBorder="1" applyAlignment="1">
      <alignment horizontal="left" vertical="center"/>
    </xf>
    <xf numFmtId="2" fontId="101" fillId="2" borderId="1" xfId="17" applyNumberFormat="1" applyFont="1" applyFill="1" applyBorder="1" applyAlignment="1">
      <alignment vertical="top" wrapText="1"/>
    </xf>
    <xf numFmtId="2" fontId="100" fillId="2" borderId="1" xfId="17" applyNumberFormat="1" applyFont="1" applyFill="1" applyBorder="1" applyAlignment="1">
      <alignment vertical="top" wrapText="1"/>
    </xf>
    <xf numFmtId="0" fontId="97" fillId="0" borderId="12" xfId="16" applyFont="1" applyBorder="1" applyAlignment="1">
      <alignment wrapText="1"/>
    </xf>
    <xf numFmtId="164" fontId="100" fillId="0" borderId="12" xfId="16" applyNumberFormat="1" applyFont="1" applyFill="1" applyBorder="1" applyAlignment="1">
      <alignment horizontal="center" vertical="center"/>
    </xf>
    <xf numFmtId="164" fontId="101" fillId="0" borderId="0" xfId="16" applyNumberFormat="1" applyFont="1" applyFill="1" applyBorder="1" applyAlignment="1">
      <alignment vertical="center"/>
    </xf>
    <xf numFmtId="164" fontId="101" fillId="0" borderId="0" xfId="16" applyNumberFormat="1" applyFont="1" applyFill="1" applyAlignment="1">
      <alignment vertical="center"/>
    </xf>
    <xf numFmtId="164" fontId="113" fillId="0" borderId="0" xfId="0" applyNumberFormat="1" applyFont="1"/>
    <xf numFmtId="164" fontId="113" fillId="0" borderId="0" xfId="0" applyNumberFormat="1" applyFont="1" applyAlignment="1">
      <alignment wrapText="1"/>
    </xf>
    <xf numFmtId="2" fontId="105" fillId="0" borderId="12" xfId="17" applyNumberFormat="1" applyFont="1" applyFill="1" applyBorder="1" applyAlignment="1">
      <alignment horizontal="center" vertical="center" wrapText="1"/>
    </xf>
    <xf numFmtId="164" fontId="113" fillId="0" borderId="0" xfId="0" applyNumberFormat="1" applyFont="1" applyFill="1"/>
    <xf numFmtId="2" fontId="100" fillId="0" borderId="12" xfId="17" applyNumberFormat="1" applyFont="1" applyFill="1" applyBorder="1" applyAlignment="1">
      <alignment vertical="center" wrapText="1"/>
    </xf>
    <xf numFmtId="0" fontId="97" fillId="0" borderId="0" xfId="16" applyFont="1"/>
    <xf numFmtId="0" fontId="97" fillId="0" borderId="12" xfId="16" applyFont="1" applyBorder="1" applyAlignment="1">
      <alignment horizontal="center" vertical="center"/>
    </xf>
    <xf numFmtId="2" fontId="97" fillId="0" borderId="12" xfId="16" applyNumberFormat="1" applyFont="1" applyBorder="1" applyAlignment="1">
      <alignment vertical="center"/>
    </xf>
    <xf numFmtId="0" fontId="97" fillId="0" borderId="12" xfId="16" applyFont="1" applyBorder="1" applyAlignment="1">
      <alignment horizontal="right" vertical="center"/>
    </xf>
    <xf numFmtId="164" fontId="101" fillId="0" borderId="0" xfId="2" applyNumberFormat="1" applyFont="1" applyAlignment="1" applyProtection="1">
      <alignment horizontal="left"/>
    </xf>
    <xf numFmtId="2" fontId="97" fillId="0" borderId="12" xfId="0" applyNumberFormat="1" applyFont="1" applyBorder="1" applyAlignment="1">
      <alignment horizontal="right" vertical="center"/>
    </xf>
    <xf numFmtId="2" fontId="97" fillId="0" borderId="12" xfId="0" applyNumberFormat="1" applyFont="1" applyBorder="1" applyAlignment="1">
      <alignment vertical="center"/>
    </xf>
    <xf numFmtId="2" fontId="100" fillId="0" borderId="12" xfId="0" applyNumberFormat="1" applyFont="1" applyFill="1" applyBorder="1" applyAlignment="1">
      <alignment vertical="center"/>
    </xf>
    <xf numFmtId="2" fontId="101" fillId="0" borderId="12" xfId="0" applyNumberFormat="1" applyFont="1" applyFill="1" applyBorder="1" applyAlignment="1">
      <alignment horizontal="right" vertical="center"/>
    </xf>
    <xf numFmtId="2" fontId="100" fillId="0" borderId="12" xfId="0" applyNumberFormat="1" applyFont="1" applyFill="1" applyBorder="1" applyAlignment="1">
      <alignment horizontal="right" vertical="center"/>
    </xf>
    <xf numFmtId="2" fontId="101" fillId="0" borderId="12" xfId="0" applyNumberFormat="1" applyFont="1" applyFill="1" applyBorder="1" applyAlignment="1">
      <alignment vertical="center"/>
    </xf>
    <xf numFmtId="2" fontId="99" fillId="2" borderId="12" xfId="19" applyNumberFormat="1" applyFont="1" applyFill="1" applyBorder="1" applyAlignment="1">
      <alignment vertical="center" wrapText="1"/>
    </xf>
    <xf numFmtId="164" fontId="100" fillId="0" borderId="12" xfId="0" applyNumberFormat="1" applyFont="1" applyBorder="1" applyAlignment="1">
      <alignment vertical="center" wrapText="1"/>
    </xf>
    <xf numFmtId="0" fontId="99" fillId="0" borderId="12" xfId="0" applyFont="1" applyFill="1" applyBorder="1" applyAlignment="1">
      <alignment vertical="center" wrapText="1"/>
    </xf>
    <xf numFmtId="2" fontId="109" fillId="0" borderId="12" xfId="17" applyNumberFormat="1" applyFont="1" applyFill="1" applyBorder="1" applyAlignment="1">
      <alignment vertical="top" wrapText="1"/>
    </xf>
    <xf numFmtId="2" fontId="108" fillId="0" borderId="12" xfId="17" applyNumberFormat="1" applyFont="1" applyFill="1" applyBorder="1" applyAlignment="1">
      <alignment vertical="top" wrapText="1"/>
    </xf>
    <xf numFmtId="0" fontId="100" fillId="0" borderId="12" xfId="20" applyFont="1" applyFill="1" applyBorder="1" applyAlignment="1">
      <alignment horizontal="center" vertical="center"/>
    </xf>
    <xf numFmtId="2" fontId="101" fillId="0" borderId="0" xfId="17" applyNumberFormat="1" applyFont="1" applyFill="1" applyBorder="1" applyAlignment="1">
      <alignment horizontal="left" vertical="top" wrapText="1"/>
    </xf>
    <xf numFmtId="164" fontId="101" fillId="0" borderId="12" xfId="16" applyNumberFormat="1" applyFont="1" applyBorder="1" applyAlignment="1">
      <alignment horizontal="center" vertical="center"/>
    </xf>
    <xf numFmtId="0" fontId="97" fillId="0" borderId="12" xfId="0" applyFont="1" applyBorder="1" applyAlignment="1">
      <alignment horizontal="left" wrapText="1"/>
    </xf>
    <xf numFmtId="164" fontId="101" fillId="0" borderId="12" xfId="16" applyNumberFormat="1" applyFont="1" applyFill="1" applyBorder="1" applyAlignment="1">
      <alignment horizontal="center" vertical="center"/>
    </xf>
    <xf numFmtId="166" fontId="101" fillId="0" borderId="12" xfId="16" applyNumberFormat="1" applyFont="1" applyBorder="1" applyAlignment="1">
      <alignment horizontal="center" vertical="center"/>
    </xf>
    <xf numFmtId="166" fontId="104" fillId="0" borderId="12" xfId="17" applyNumberFormat="1" applyFont="1" applyFill="1" applyBorder="1" applyAlignment="1">
      <alignment horizontal="center" vertical="center" wrapText="1"/>
    </xf>
    <xf numFmtId="166" fontId="101" fillId="0" borderId="0" xfId="16" applyNumberFormat="1" applyFont="1" applyBorder="1" applyAlignment="1">
      <alignment horizontal="center" vertical="center"/>
    </xf>
    <xf numFmtId="166" fontId="101" fillId="0" borderId="0" xfId="16" applyNumberFormat="1" applyFont="1" applyAlignment="1">
      <alignment horizontal="center" vertical="center"/>
    </xf>
    <xf numFmtId="0" fontId="99" fillId="0" borderId="7" xfId="0" applyFont="1" applyBorder="1" applyAlignment="1">
      <alignment horizontal="justify" vertical="center" wrapText="1"/>
    </xf>
    <xf numFmtId="2" fontId="99" fillId="0" borderId="12" xfId="0" applyNumberFormat="1" applyFont="1" applyBorder="1" applyAlignment="1">
      <alignment horizontal="left" wrapText="1"/>
    </xf>
    <xf numFmtId="0" fontId="95" fillId="0" borderId="12" xfId="16" applyFont="1" applyBorder="1" applyAlignment="1">
      <alignment horizontal="center" vertical="center"/>
    </xf>
    <xf numFmtId="166" fontId="100" fillId="0" borderId="12" xfId="12" applyNumberFormat="1" applyFont="1" applyFill="1" applyBorder="1" applyAlignment="1">
      <alignment horizontal="center" vertical="center"/>
    </xf>
    <xf numFmtId="166" fontId="100" fillId="0" borderId="12" xfId="12" applyNumberFormat="1" applyFont="1" applyBorder="1" applyAlignment="1">
      <alignment horizontal="center" vertical="center"/>
    </xf>
    <xf numFmtId="0" fontId="99" fillId="0" borderId="0" xfId="16" applyFont="1" applyBorder="1" applyAlignment="1">
      <alignment horizontal="center" vertical="center"/>
    </xf>
    <xf numFmtId="164" fontId="101" fillId="0" borderId="12" xfId="16" applyNumberFormat="1" applyFont="1" applyBorder="1" applyAlignment="1">
      <alignment horizontal="left" vertical="center"/>
    </xf>
    <xf numFmtId="164" fontId="101" fillId="0" borderId="0" xfId="16" applyNumberFormat="1" applyFont="1" applyAlignment="1">
      <alignment horizontal="left"/>
    </xf>
    <xf numFmtId="2" fontId="104" fillId="0" borderId="12" xfId="17" applyNumberFormat="1" applyFont="1" applyFill="1" applyBorder="1" applyAlignment="1">
      <alignment horizontal="left" vertical="top" wrapText="1"/>
    </xf>
    <xf numFmtId="0" fontId="97" fillId="0" borderId="7" xfId="0" applyFont="1" applyBorder="1" applyAlignment="1">
      <alignment horizontal="left" vertical="justify" wrapText="1"/>
    </xf>
    <xf numFmtId="2" fontId="101" fillId="0" borderId="12" xfId="17" applyNumberFormat="1" applyFont="1" applyFill="1" applyBorder="1" applyAlignment="1">
      <alignment horizontal="left" vertical="center" wrapText="1"/>
    </xf>
    <xf numFmtId="164" fontId="101" fillId="0" borderId="12" xfId="16" applyNumberFormat="1" applyFont="1" applyBorder="1" applyAlignment="1">
      <alignment horizontal="left" vertical="center" wrapText="1"/>
    </xf>
    <xf numFmtId="164" fontId="102" fillId="0" borderId="0" xfId="0" applyNumberFormat="1" applyFont="1"/>
    <xf numFmtId="2" fontId="102" fillId="0" borderId="0" xfId="0" applyNumberFormat="1" applyFont="1"/>
    <xf numFmtId="2" fontId="113" fillId="0" borderId="0" xfId="0" applyNumberFormat="1" applyFont="1"/>
    <xf numFmtId="2" fontId="113" fillId="0" borderId="0" xfId="0" applyNumberFormat="1" applyFont="1" applyFill="1"/>
    <xf numFmtId="165" fontId="101" fillId="0" borderId="12" xfId="16" applyNumberFormat="1" applyFont="1" applyFill="1" applyBorder="1" applyAlignment="1">
      <alignment horizontal="center" vertical="center"/>
    </xf>
    <xf numFmtId="0" fontId="114" fillId="0" borderId="0" xfId="0" applyFont="1"/>
    <xf numFmtId="2" fontId="115" fillId="0" borderId="0" xfId="29" applyNumberFormat="1" applyFont="1" applyFill="1" applyAlignment="1"/>
    <xf numFmtId="0" fontId="113" fillId="0" borderId="0" xfId="29" applyFont="1" applyFill="1">
      <alignment vertical="center"/>
    </xf>
    <xf numFmtId="0" fontId="116" fillId="0" borderId="0" xfId="29" applyFont="1" applyFill="1" applyAlignment="1">
      <alignment wrapText="1"/>
    </xf>
    <xf numFmtId="0" fontId="115" fillId="0" borderId="0" xfId="29" applyFont="1" applyFill="1" applyAlignment="1"/>
    <xf numFmtId="0" fontId="102" fillId="0" borderId="0" xfId="29" applyFont="1" applyFill="1">
      <alignment vertical="center"/>
    </xf>
    <xf numFmtId="2" fontId="116" fillId="0" borderId="0" xfId="29" applyNumberFormat="1" applyFont="1" applyFill="1" applyAlignment="1"/>
    <xf numFmtId="2" fontId="114" fillId="0" borderId="0" xfId="0" applyNumberFormat="1" applyFont="1" applyFill="1" applyAlignment="1">
      <alignment vertical="center"/>
    </xf>
    <xf numFmtId="0" fontId="114" fillId="0" borderId="0" xfId="0" applyFont="1" applyFill="1" applyAlignment="1">
      <alignment vertical="center"/>
    </xf>
    <xf numFmtId="0" fontId="116" fillId="0" borderId="0" xfId="0" applyFont="1" applyFill="1" applyAlignment="1">
      <alignment wrapText="1"/>
    </xf>
    <xf numFmtId="2" fontId="115" fillId="0" borderId="0" xfId="0" applyNumberFormat="1" applyFont="1" applyFill="1" applyAlignment="1"/>
    <xf numFmtId="0" fontId="114" fillId="0" borderId="0" xfId="0" applyFont="1" applyFill="1" applyAlignment="1">
      <alignment vertical="center" wrapText="1"/>
    </xf>
    <xf numFmtId="2" fontId="115" fillId="0" borderId="0" xfId="0" applyNumberFormat="1" applyFont="1" applyFill="1" applyAlignment="1">
      <alignment vertical="center"/>
    </xf>
    <xf numFmtId="0" fontId="98" fillId="0" borderId="0" xfId="0" applyFont="1" applyFill="1" applyAlignment="1">
      <alignment vertical="center"/>
    </xf>
    <xf numFmtId="2" fontId="98" fillId="0" borderId="0" xfId="0" applyNumberFormat="1" applyFont="1" applyFill="1" applyAlignment="1">
      <alignment vertical="center"/>
    </xf>
    <xf numFmtId="2" fontId="116" fillId="0" borderId="0" xfId="0" applyNumberFormat="1" applyFont="1" applyFill="1" applyAlignment="1"/>
    <xf numFmtId="2" fontId="114" fillId="0" borderId="0" xfId="0" applyNumberFormat="1" applyFont="1"/>
    <xf numFmtId="0" fontId="98" fillId="0" borderId="0" xfId="0" applyFont="1"/>
    <xf numFmtId="0" fontId="114" fillId="0" borderId="0" xfId="0" applyFont="1" applyAlignment="1">
      <alignment wrapText="1"/>
    </xf>
    <xf numFmtId="0" fontId="3" fillId="0" borderId="0" xfId="1" applyFont="1" applyFill="1" applyBorder="1" applyAlignment="1">
      <alignment horizontal="center"/>
    </xf>
    <xf numFmtId="0" fontId="3" fillId="0" borderId="0" xfId="1" applyFont="1" applyFill="1" applyBorder="1" applyAlignment="1">
      <alignment horizontal="center" wrapText="1"/>
    </xf>
    <xf numFmtId="164" fontId="61" fillId="0" borderId="0" xfId="2" applyNumberFormat="1" applyFont="1" applyAlignment="1">
      <alignment horizontal="center"/>
    </xf>
    <xf numFmtId="164" fontId="54" fillId="0" borderId="0" xfId="2" applyNumberFormat="1" applyFont="1" applyAlignment="1">
      <alignment horizontal="center"/>
    </xf>
    <xf numFmtId="0" fontId="8" fillId="0" borderId="0" xfId="2" applyNumberFormat="1" applyBorder="1" applyAlignment="1">
      <alignment horizontal="center"/>
    </xf>
    <xf numFmtId="164" fontId="44" fillId="0" borderId="0" xfId="2" applyNumberFormat="1" applyFont="1" applyAlignment="1">
      <alignment horizontal="center"/>
    </xf>
    <xf numFmtId="164" fontId="9" fillId="0" borderId="0" xfId="2" applyNumberFormat="1" applyFont="1" applyAlignment="1">
      <alignment horizontal="center"/>
    </xf>
    <xf numFmtId="0" fontId="58" fillId="0" borderId="0" xfId="2" applyNumberFormat="1" applyFont="1" applyAlignment="1">
      <alignment horizontal="center" wrapText="1"/>
    </xf>
    <xf numFmtId="164" fontId="9" fillId="0" borderId="0" xfId="2" applyNumberFormat="1" applyFont="1" applyAlignment="1">
      <alignment horizontal="right"/>
    </xf>
    <xf numFmtId="165" fontId="8" fillId="0" borderId="0" xfId="2" applyNumberFormat="1" applyAlignment="1">
      <alignment horizontal="right"/>
    </xf>
    <xf numFmtId="164" fontId="9" fillId="0" borderId="0" xfId="2" applyNumberFormat="1" applyFont="1" applyAlignment="1">
      <alignment horizontal="center" vertical="top" wrapText="1"/>
    </xf>
    <xf numFmtId="164" fontId="9" fillId="0" borderId="0" xfId="2" applyNumberFormat="1" applyFont="1" applyAlignment="1">
      <alignment vertical="top" wrapText="1"/>
    </xf>
    <xf numFmtId="164" fontId="8" fillId="0" borderId="0" xfId="2" applyNumberFormat="1" applyAlignment="1">
      <alignment vertical="top"/>
    </xf>
    <xf numFmtId="164" fontId="9" fillId="0" borderId="0" xfId="2" applyNumberFormat="1" applyFont="1" applyAlignment="1" applyProtection="1">
      <alignment horizontal="left" vertical="top"/>
    </xf>
    <xf numFmtId="164" fontId="8" fillId="7" borderId="0" xfId="2" applyNumberFormat="1" applyFill="1" applyAlignment="1" applyProtection="1">
      <alignment horizontal="left" vertical="top" wrapText="1"/>
    </xf>
    <xf numFmtId="164" fontId="8" fillId="7" borderId="0" xfId="2" applyNumberFormat="1" applyFont="1" applyFill="1" applyAlignment="1" applyProtection="1">
      <alignment horizontal="left" vertical="top" wrapText="1"/>
    </xf>
    <xf numFmtId="164" fontId="9" fillId="0" borderId="0" xfId="2" applyNumberFormat="1" applyFont="1" applyAlignment="1" applyProtection="1">
      <alignment vertical="top"/>
    </xf>
    <xf numFmtId="164" fontId="8" fillId="6" borderId="0" xfId="2" applyNumberFormat="1" applyFill="1" applyAlignment="1" applyProtection="1">
      <alignment horizontal="left" vertical="top" wrapText="1"/>
    </xf>
    <xf numFmtId="164" fontId="8" fillId="6" borderId="0" xfId="2" applyNumberFormat="1" applyFont="1" applyFill="1" applyAlignment="1" applyProtection="1">
      <alignment horizontal="left" vertical="top" wrapText="1"/>
    </xf>
    <xf numFmtId="164" fontId="8" fillId="0" borderId="0" xfId="2" applyNumberFormat="1" applyAlignment="1">
      <alignment horizontal="center"/>
    </xf>
    <xf numFmtId="164" fontId="8" fillId="0" borderId="0" xfId="2" quotePrefix="1" applyNumberFormat="1" applyAlignment="1" applyProtection="1">
      <alignment horizontal="center"/>
    </xf>
    <xf numFmtId="164" fontId="8" fillId="0" borderId="0" xfId="2" applyNumberFormat="1" applyAlignment="1" applyProtection="1">
      <alignment horizontal="center"/>
    </xf>
    <xf numFmtId="164" fontId="9" fillId="0" borderId="0" xfId="2" applyNumberFormat="1" applyFont="1" applyAlignment="1" applyProtection="1">
      <alignment horizontal="center"/>
    </xf>
    <xf numFmtId="164" fontId="8" fillId="0" borderId="0" xfId="2" applyNumberFormat="1" applyAlignment="1" applyProtection="1">
      <alignment horizontal="center" wrapText="1"/>
    </xf>
    <xf numFmtId="0" fontId="95" fillId="0" borderId="5" xfId="16" applyFont="1" applyBorder="1" applyAlignment="1">
      <alignment horizontal="center" vertical="center" wrapText="1"/>
    </xf>
    <xf numFmtId="0" fontId="95" fillId="0" borderId="6" xfId="16" applyFont="1" applyBorder="1" applyAlignment="1">
      <alignment horizontal="center" vertical="center" wrapText="1"/>
    </xf>
    <xf numFmtId="0" fontId="95" fillId="0" borderId="2" xfId="16" applyFont="1" applyBorder="1" applyAlignment="1">
      <alignment horizontal="center" vertical="center" wrapText="1"/>
    </xf>
    <xf numFmtId="0" fontId="95" fillId="0" borderId="8" xfId="16" applyFont="1" applyBorder="1" applyAlignment="1">
      <alignment horizontal="center" vertical="center" wrapText="1"/>
    </xf>
    <xf numFmtId="0" fontId="95" fillId="0" borderId="9" xfId="16" applyFont="1" applyBorder="1" applyAlignment="1">
      <alignment horizontal="center" vertical="center" wrapText="1"/>
    </xf>
    <xf numFmtId="0" fontId="95" fillId="0" borderId="4" xfId="16" applyFont="1" applyBorder="1" applyAlignment="1">
      <alignment horizontal="center" vertical="center" wrapText="1"/>
    </xf>
    <xf numFmtId="0" fontId="99" fillId="0" borderId="13" xfId="16" applyFont="1" applyBorder="1" applyAlignment="1">
      <alignment horizontal="center" vertical="center" wrapText="1"/>
    </xf>
    <xf numFmtId="0" fontId="99" fillId="0" borderId="14" xfId="16" applyFont="1" applyBorder="1" applyAlignment="1">
      <alignment horizontal="center" vertical="center" wrapText="1"/>
    </xf>
    <xf numFmtId="0" fontId="99" fillId="0" borderId="15" xfId="16" applyFont="1" applyBorder="1" applyAlignment="1">
      <alignment horizontal="center" vertical="center" wrapText="1"/>
    </xf>
    <xf numFmtId="1" fontId="99" fillId="0" borderId="12" xfId="16" applyNumberFormat="1" applyFont="1" applyBorder="1" applyAlignment="1">
      <alignment horizontal="center" vertical="center"/>
    </xf>
    <xf numFmtId="164" fontId="105" fillId="0" borderId="12" xfId="16" applyNumberFormat="1" applyFont="1" applyFill="1" applyBorder="1" applyAlignment="1">
      <alignment horizontal="center" vertical="center"/>
    </xf>
    <xf numFmtId="164" fontId="107" fillId="0" borderId="13" xfId="16" applyNumberFormat="1" applyFont="1" applyFill="1" applyBorder="1" applyAlignment="1">
      <alignment horizontal="right" vertical="center"/>
    </xf>
    <xf numFmtId="164" fontId="107" fillId="0" borderId="14" xfId="16" applyNumberFormat="1" applyFont="1" applyFill="1" applyBorder="1" applyAlignment="1">
      <alignment horizontal="right" vertical="center"/>
    </xf>
    <xf numFmtId="164" fontId="107" fillId="0" borderId="15" xfId="16" applyNumberFormat="1" applyFont="1" applyFill="1" applyBorder="1" applyAlignment="1">
      <alignment horizontal="right" vertical="center"/>
    </xf>
    <xf numFmtId="164" fontId="108" fillId="10" borderId="12" xfId="16" applyNumberFormat="1" applyFont="1" applyFill="1" applyBorder="1" applyAlignment="1">
      <alignment horizontal="center" vertical="center" wrapText="1"/>
    </xf>
    <xf numFmtId="164" fontId="103" fillId="0" borderId="12" xfId="16" applyNumberFormat="1" applyFont="1" applyBorder="1" applyAlignment="1">
      <alignment horizontal="center" vertical="center"/>
    </xf>
    <xf numFmtId="0" fontId="101" fillId="0" borderId="12" xfId="16" applyNumberFormat="1" applyFont="1" applyBorder="1" applyAlignment="1">
      <alignment horizontal="center" vertical="center"/>
    </xf>
    <xf numFmtId="0" fontId="99" fillId="0" borderId="12" xfId="30" applyFont="1" applyBorder="1" applyAlignment="1">
      <alignment horizontal="center" vertical="center" wrapText="1"/>
    </xf>
    <xf numFmtId="0" fontId="114" fillId="0" borderId="0" xfId="0" applyFont="1" applyAlignment="1">
      <alignment horizontal="left" vertical="top" wrapText="1"/>
    </xf>
    <xf numFmtId="164" fontId="102" fillId="0" borderId="0" xfId="0" applyNumberFormat="1" applyFont="1" applyAlignment="1">
      <alignment horizontal="center"/>
    </xf>
    <xf numFmtId="164" fontId="113" fillId="0" borderId="0" xfId="0" applyNumberFormat="1" applyFont="1" applyAlignment="1">
      <alignment horizontal="center"/>
    </xf>
  </cellXfs>
  <cellStyles count="31">
    <cellStyle name="Comma 2" xfId="7"/>
    <cellStyle name="Comma 4 2" xfId="8"/>
    <cellStyle name="Normal" xfId="0" builtinId="0"/>
    <cellStyle name="Normal 2" xfId="2"/>
    <cellStyle name="Normal 2 2" xfId="3"/>
    <cellStyle name="Normal 2 2 2" xfId="9"/>
    <cellStyle name="Normal 2 2 2 2" xfId="20"/>
    <cellStyle name="Normal 2 3" xfId="10"/>
    <cellStyle name="Normal 2 3 2" xfId="24"/>
    <cellStyle name="Normal 2 4" xfId="23"/>
    <cellStyle name="Normal 3" xfId="11"/>
    <cellStyle name="Normal 3 2" xfId="22"/>
    <cellStyle name="Normal 3 2 2" xfId="12"/>
    <cellStyle name="Normal 3 4" xfId="13"/>
    <cellStyle name="Normal 3 4 2" xfId="25"/>
    <cellStyle name="Normal 32" xfId="26"/>
    <cellStyle name="Normal 4" xfId="14"/>
    <cellStyle name="Normal 4 2" xfId="27"/>
    <cellStyle name="Normal 5" xfId="4"/>
    <cellStyle name="Normal 5 2" xfId="15"/>
    <cellStyle name="Normal 5 3" xfId="28"/>
    <cellStyle name="Normal 5 4" xfId="29"/>
    <cellStyle name="Normal 6" xfId="16"/>
    <cellStyle name="Normal 6 2" xfId="30"/>
    <cellStyle name="Normal_Phase XI QS" xfId="17"/>
    <cellStyle name="Normal_Phase XI QS 2" xfId="5"/>
    <cellStyle name="Normal_Phase XI QS 2 3" xfId="19"/>
    <cellStyle name="Normal_Phase XI QS 3" xfId="6"/>
    <cellStyle name="Normal_test-1" xfId="1"/>
    <cellStyle name="Percent 2" xfId="18"/>
    <cellStyle name="Percent 2 2" xf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14</xdr:col>
      <xdr:colOff>457200</xdr:colOff>
      <xdr:row>7792</xdr:row>
      <xdr:rowOff>190500</xdr:rowOff>
    </xdr:from>
    <xdr:to>
      <xdr:col>14</xdr:col>
      <xdr:colOff>552450</xdr:colOff>
      <xdr:row>7792</xdr:row>
      <xdr:rowOff>200025</xdr:rowOff>
    </xdr:to>
    <xdr:sp macro="" textlink="">
      <xdr:nvSpPr>
        <xdr:cNvPr id="2" name="Text Box 1"/>
        <xdr:cNvSpPr txBox="1">
          <a:spLocks noChangeArrowheads="1"/>
        </xdr:cNvSpPr>
      </xdr:nvSpPr>
      <xdr:spPr bwMode="auto">
        <a:xfrm>
          <a:off x="20688300" y="2408237500"/>
          <a:ext cx="95250" cy="9525"/>
        </a:xfrm>
        <a:prstGeom prst="rect">
          <a:avLst/>
        </a:prstGeom>
        <a:noFill/>
        <a:ln w="9525">
          <a:noFill/>
          <a:miter lim="800000"/>
          <a:headEnd/>
          <a:tailEnd/>
        </a:ln>
      </xdr:spPr>
    </xdr:sp>
    <xdr:clientData/>
  </xdr:twoCellAnchor>
  <xdr:twoCellAnchor editAs="oneCell">
    <xdr:from>
      <xdr:col>7</xdr:col>
      <xdr:colOff>2505075</xdr:colOff>
      <xdr:row>0</xdr:row>
      <xdr:rowOff>0</xdr:rowOff>
    </xdr:from>
    <xdr:to>
      <xdr:col>7</xdr:col>
      <xdr:colOff>2517321</xdr:colOff>
      <xdr:row>0</xdr:row>
      <xdr:rowOff>47625</xdr:rowOff>
    </xdr:to>
    <xdr:sp macro="" textlink="">
      <xdr:nvSpPr>
        <xdr:cNvPr id="3" name="Text Box 2"/>
        <xdr:cNvSpPr txBox="1">
          <a:spLocks noChangeArrowheads="1"/>
        </xdr:cNvSpPr>
      </xdr:nvSpPr>
      <xdr:spPr bwMode="auto">
        <a:xfrm>
          <a:off x="12544425" y="0"/>
          <a:ext cx="12246" cy="4762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1514475</xdr:colOff>
      <xdr:row>51</xdr:row>
      <xdr:rowOff>0</xdr:rowOff>
    </xdr:from>
    <xdr:to>
      <xdr:col>2</xdr:col>
      <xdr:colOff>2129155</xdr:colOff>
      <xdr:row>51</xdr:row>
      <xdr:rowOff>47625</xdr:rowOff>
    </xdr:to>
    <xdr:sp macro="" textlink="">
      <xdr:nvSpPr>
        <xdr:cNvPr id="2" name="Text Box 1">
          <a:extLst>
            <a:ext uri="{FF2B5EF4-FFF2-40B4-BE49-F238E27FC236}">
              <a16:creationId xmlns:a16="http://schemas.microsoft.com/office/drawing/2014/main" xmlns="" id="{00000000-0008-0000-0500-000002000000}"/>
            </a:ext>
          </a:extLst>
        </xdr:cNvPr>
        <xdr:cNvSpPr txBox="1">
          <a:spLocks noChangeArrowheads="1"/>
        </xdr:cNvSpPr>
      </xdr:nvSpPr>
      <xdr:spPr bwMode="auto">
        <a:xfrm>
          <a:off x="2847975" y="14903450"/>
          <a:ext cx="10668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2</xdr:col>
      <xdr:colOff>1514475</xdr:colOff>
      <xdr:row>51</xdr:row>
      <xdr:rowOff>0</xdr:rowOff>
    </xdr:from>
    <xdr:to>
      <xdr:col>2</xdr:col>
      <xdr:colOff>2129155</xdr:colOff>
      <xdr:row>51</xdr:row>
      <xdr:rowOff>47625</xdr:rowOff>
    </xdr:to>
    <xdr:sp macro="" textlink="">
      <xdr:nvSpPr>
        <xdr:cNvPr id="3" name="Text Box 4">
          <a:extLst>
            <a:ext uri="{FF2B5EF4-FFF2-40B4-BE49-F238E27FC236}">
              <a16:creationId xmlns:a16="http://schemas.microsoft.com/office/drawing/2014/main" xmlns="" id="{00000000-0008-0000-0500-000003000000}"/>
            </a:ext>
          </a:extLst>
        </xdr:cNvPr>
        <xdr:cNvSpPr txBox="1">
          <a:spLocks noChangeArrowheads="1"/>
        </xdr:cNvSpPr>
      </xdr:nvSpPr>
      <xdr:spPr bwMode="auto">
        <a:xfrm>
          <a:off x="2847975" y="14903450"/>
          <a:ext cx="10668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2</xdr:col>
      <xdr:colOff>1514475</xdr:colOff>
      <xdr:row>51</xdr:row>
      <xdr:rowOff>0</xdr:rowOff>
    </xdr:from>
    <xdr:to>
      <xdr:col>2</xdr:col>
      <xdr:colOff>2129155</xdr:colOff>
      <xdr:row>51</xdr:row>
      <xdr:rowOff>47625</xdr:rowOff>
    </xdr:to>
    <xdr:sp macro="" textlink="">
      <xdr:nvSpPr>
        <xdr:cNvPr id="4" name="Text Box 5">
          <a:extLst>
            <a:ext uri="{FF2B5EF4-FFF2-40B4-BE49-F238E27FC236}">
              <a16:creationId xmlns:a16="http://schemas.microsoft.com/office/drawing/2014/main" xmlns="" id="{00000000-0008-0000-0500-000004000000}"/>
            </a:ext>
          </a:extLst>
        </xdr:cNvPr>
        <xdr:cNvSpPr txBox="1">
          <a:spLocks noChangeArrowheads="1"/>
        </xdr:cNvSpPr>
      </xdr:nvSpPr>
      <xdr:spPr bwMode="auto">
        <a:xfrm>
          <a:off x="2847975" y="14903450"/>
          <a:ext cx="10668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2</xdr:col>
      <xdr:colOff>1514475</xdr:colOff>
      <xdr:row>51</xdr:row>
      <xdr:rowOff>0</xdr:rowOff>
    </xdr:from>
    <xdr:to>
      <xdr:col>2</xdr:col>
      <xdr:colOff>2129155</xdr:colOff>
      <xdr:row>51</xdr:row>
      <xdr:rowOff>47625</xdr:rowOff>
    </xdr:to>
    <xdr:sp macro="" textlink="">
      <xdr:nvSpPr>
        <xdr:cNvPr id="5" name="Text Box 6">
          <a:extLst>
            <a:ext uri="{FF2B5EF4-FFF2-40B4-BE49-F238E27FC236}">
              <a16:creationId xmlns:a16="http://schemas.microsoft.com/office/drawing/2014/main" xmlns="" id="{00000000-0008-0000-0500-000005000000}"/>
            </a:ext>
          </a:extLst>
        </xdr:cNvPr>
        <xdr:cNvSpPr txBox="1">
          <a:spLocks noChangeArrowheads="1"/>
        </xdr:cNvSpPr>
      </xdr:nvSpPr>
      <xdr:spPr bwMode="auto">
        <a:xfrm>
          <a:off x="2847975" y="14903450"/>
          <a:ext cx="10668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2</xdr:col>
      <xdr:colOff>1514475</xdr:colOff>
      <xdr:row>51</xdr:row>
      <xdr:rowOff>0</xdr:rowOff>
    </xdr:from>
    <xdr:to>
      <xdr:col>2</xdr:col>
      <xdr:colOff>2129155</xdr:colOff>
      <xdr:row>51</xdr:row>
      <xdr:rowOff>47625</xdr:rowOff>
    </xdr:to>
    <xdr:sp macro="" textlink="">
      <xdr:nvSpPr>
        <xdr:cNvPr id="6" name="Text Box 1">
          <a:extLst>
            <a:ext uri="{FF2B5EF4-FFF2-40B4-BE49-F238E27FC236}">
              <a16:creationId xmlns:a16="http://schemas.microsoft.com/office/drawing/2014/main" xmlns="" id="{00000000-0008-0000-0500-000006000000}"/>
            </a:ext>
          </a:extLst>
        </xdr:cNvPr>
        <xdr:cNvSpPr txBox="1">
          <a:spLocks noChangeArrowheads="1"/>
        </xdr:cNvSpPr>
      </xdr:nvSpPr>
      <xdr:spPr bwMode="auto">
        <a:xfrm>
          <a:off x="2847975" y="14903450"/>
          <a:ext cx="10668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2</xdr:col>
      <xdr:colOff>1514475</xdr:colOff>
      <xdr:row>51</xdr:row>
      <xdr:rowOff>0</xdr:rowOff>
    </xdr:from>
    <xdr:to>
      <xdr:col>2</xdr:col>
      <xdr:colOff>2129155</xdr:colOff>
      <xdr:row>51</xdr:row>
      <xdr:rowOff>47625</xdr:rowOff>
    </xdr:to>
    <xdr:sp macro="" textlink="">
      <xdr:nvSpPr>
        <xdr:cNvPr id="7" name="Text Box 1">
          <a:extLst>
            <a:ext uri="{FF2B5EF4-FFF2-40B4-BE49-F238E27FC236}">
              <a16:creationId xmlns:a16="http://schemas.microsoft.com/office/drawing/2014/main" xmlns="" id="{00000000-0008-0000-0500-000007000000}"/>
            </a:ext>
          </a:extLst>
        </xdr:cNvPr>
        <xdr:cNvSpPr txBox="1">
          <a:spLocks noChangeArrowheads="1"/>
        </xdr:cNvSpPr>
      </xdr:nvSpPr>
      <xdr:spPr bwMode="auto">
        <a:xfrm>
          <a:off x="2847975" y="14903450"/>
          <a:ext cx="10668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2</xdr:col>
      <xdr:colOff>1514475</xdr:colOff>
      <xdr:row>51</xdr:row>
      <xdr:rowOff>0</xdr:rowOff>
    </xdr:from>
    <xdr:to>
      <xdr:col>2</xdr:col>
      <xdr:colOff>2129155</xdr:colOff>
      <xdr:row>51</xdr:row>
      <xdr:rowOff>47625</xdr:rowOff>
    </xdr:to>
    <xdr:sp macro="" textlink="">
      <xdr:nvSpPr>
        <xdr:cNvPr id="8" name="Text Box 4">
          <a:extLst>
            <a:ext uri="{FF2B5EF4-FFF2-40B4-BE49-F238E27FC236}">
              <a16:creationId xmlns:a16="http://schemas.microsoft.com/office/drawing/2014/main" xmlns="" id="{00000000-0008-0000-0500-000008000000}"/>
            </a:ext>
          </a:extLst>
        </xdr:cNvPr>
        <xdr:cNvSpPr txBox="1">
          <a:spLocks noChangeArrowheads="1"/>
        </xdr:cNvSpPr>
      </xdr:nvSpPr>
      <xdr:spPr bwMode="auto">
        <a:xfrm>
          <a:off x="2847975" y="14903450"/>
          <a:ext cx="10668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2</xdr:col>
      <xdr:colOff>1514475</xdr:colOff>
      <xdr:row>51</xdr:row>
      <xdr:rowOff>0</xdr:rowOff>
    </xdr:from>
    <xdr:to>
      <xdr:col>2</xdr:col>
      <xdr:colOff>2129155</xdr:colOff>
      <xdr:row>51</xdr:row>
      <xdr:rowOff>47625</xdr:rowOff>
    </xdr:to>
    <xdr:sp macro="" textlink="">
      <xdr:nvSpPr>
        <xdr:cNvPr id="9" name="Text Box 5">
          <a:extLst>
            <a:ext uri="{FF2B5EF4-FFF2-40B4-BE49-F238E27FC236}">
              <a16:creationId xmlns:a16="http://schemas.microsoft.com/office/drawing/2014/main" xmlns="" id="{00000000-0008-0000-0500-000009000000}"/>
            </a:ext>
          </a:extLst>
        </xdr:cNvPr>
        <xdr:cNvSpPr txBox="1">
          <a:spLocks noChangeArrowheads="1"/>
        </xdr:cNvSpPr>
      </xdr:nvSpPr>
      <xdr:spPr bwMode="auto">
        <a:xfrm>
          <a:off x="2847975" y="14903450"/>
          <a:ext cx="10668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2</xdr:col>
      <xdr:colOff>1514475</xdr:colOff>
      <xdr:row>51</xdr:row>
      <xdr:rowOff>0</xdr:rowOff>
    </xdr:from>
    <xdr:to>
      <xdr:col>2</xdr:col>
      <xdr:colOff>2129155</xdr:colOff>
      <xdr:row>51</xdr:row>
      <xdr:rowOff>47625</xdr:rowOff>
    </xdr:to>
    <xdr:sp macro="" textlink="">
      <xdr:nvSpPr>
        <xdr:cNvPr id="10" name="Text Box 6">
          <a:extLst>
            <a:ext uri="{FF2B5EF4-FFF2-40B4-BE49-F238E27FC236}">
              <a16:creationId xmlns:a16="http://schemas.microsoft.com/office/drawing/2014/main" xmlns="" id="{00000000-0008-0000-0500-00000A000000}"/>
            </a:ext>
          </a:extLst>
        </xdr:cNvPr>
        <xdr:cNvSpPr txBox="1">
          <a:spLocks noChangeArrowheads="1"/>
        </xdr:cNvSpPr>
      </xdr:nvSpPr>
      <xdr:spPr bwMode="auto">
        <a:xfrm>
          <a:off x="2847975" y="14903450"/>
          <a:ext cx="10668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2</xdr:col>
      <xdr:colOff>1514475</xdr:colOff>
      <xdr:row>51</xdr:row>
      <xdr:rowOff>0</xdr:rowOff>
    </xdr:from>
    <xdr:to>
      <xdr:col>2</xdr:col>
      <xdr:colOff>2129155</xdr:colOff>
      <xdr:row>51</xdr:row>
      <xdr:rowOff>47625</xdr:rowOff>
    </xdr:to>
    <xdr:sp macro="" textlink="">
      <xdr:nvSpPr>
        <xdr:cNvPr id="11" name="Text Box 1">
          <a:extLst>
            <a:ext uri="{FF2B5EF4-FFF2-40B4-BE49-F238E27FC236}">
              <a16:creationId xmlns:a16="http://schemas.microsoft.com/office/drawing/2014/main" xmlns="" id="{00000000-0008-0000-0500-00000B000000}"/>
            </a:ext>
          </a:extLst>
        </xdr:cNvPr>
        <xdr:cNvSpPr txBox="1">
          <a:spLocks noChangeArrowheads="1"/>
        </xdr:cNvSpPr>
      </xdr:nvSpPr>
      <xdr:spPr bwMode="auto">
        <a:xfrm>
          <a:off x="2847975" y="14903450"/>
          <a:ext cx="10668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2</xdr:col>
      <xdr:colOff>1514475</xdr:colOff>
      <xdr:row>51</xdr:row>
      <xdr:rowOff>0</xdr:rowOff>
    </xdr:from>
    <xdr:ext cx="106680" cy="47625"/>
    <xdr:sp macro="" textlink="">
      <xdr:nvSpPr>
        <xdr:cNvPr id="12" name="Text Box 1">
          <a:extLst>
            <a:ext uri="{FF2B5EF4-FFF2-40B4-BE49-F238E27FC236}">
              <a16:creationId xmlns:a16="http://schemas.microsoft.com/office/drawing/2014/main" xmlns="" id="{00000000-0008-0000-0500-000002000000}"/>
            </a:ext>
          </a:extLst>
        </xdr:cNvPr>
        <xdr:cNvSpPr txBox="1">
          <a:spLocks noChangeArrowheads="1"/>
        </xdr:cNvSpPr>
      </xdr:nvSpPr>
      <xdr:spPr bwMode="auto">
        <a:xfrm>
          <a:off x="2793546" y="29813250"/>
          <a:ext cx="10668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1514475</xdr:colOff>
      <xdr:row>51</xdr:row>
      <xdr:rowOff>0</xdr:rowOff>
    </xdr:from>
    <xdr:ext cx="106680" cy="47625"/>
    <xdr:sp macro="" textlink="">
      <xdr:nvSpPr>
        <xdr:cNvPr id="13" name="Text Box 4">
          <a:extLst>
            <a:ext uri="{FF2B5EF4-FFF2-40B4-BE49-F238E27FC236}">
              <a16:creationId xmlns:a16="http://schemas.microsoft.com/office/drawing/2014/main" xmlns="" id="{00000000-0008-0000-0500-000003000000}"/>
            </a:ext>
          </a:extLst>
        </xdr:cNvPr>
        <xdr:cNvSpPr txBox="1">
          <a:spLocks noChangeArrowheads="1"/>
        </xdr:cNvSpPr>
      </xdr:nvSpPr>
      <xdr:spPr bwMode="auto">
        <a:xfrm>
          <a:off x="2793546" y="29813250"/>
          <a:ext cx="10668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1514475</xdr:colOff>
      <xdr:row>51</xdr:row>
      <xdr:rowOff>0</xdr:rowOff>
    </xdr:from>
    <xdr:ext cx="106680" cy="47625"/>
    <xdr:sp macro="" textlink="">
      <xdr:nvSpPr>
        <xdr:cNvPr id="14" name="Text Box 5">
          <a:extLst>
            <a:ext uri="{FF2B5EF4-FFF2-40B4-BE49-F238E27FC236}">
              <a16:creationId xmlns:a16="http://schemas.microsoft.com/office/drawing/2014/main" xmlns="" id="{00000000-0008-0000-0500-000004000000}"/>
            </a:ext>
          </a:extLst>
        </xdr:cNvPr>
        <xdr:cNvSpPr txBox="1">
          <a:spLocks noChangeArrowheads="1"/>
        </xdr:cNvSpPr>
      </xdr:nvSpPr>
      <xdr:spPr bwMode="auto">
        <a:xfrm>
          <a:off x="2793546" y="29813250"/>
          <a:ext cx="10668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1514475</xdr:colOff>
      <xdr:row>51</xdr:row>
      <xdr:rowOff>0</xdr:rowOff>
    </xdr:from>
    <xdr:ext cx="106680" cy="47625"/>
    <xdr:sp macro="" textlink="">
      <xdr:nvSpPr>
        <xdr:cNvPr id="15" name="Text Box 6">
          <a:extLst>
            <a:ext uri="{FF2B5EF4-FFF2-40B4-BE49-F238E27FC236}">
              <a16:creationId xmlns:a16="http://schemas.microsoft.com/office/drawing/2014/main" xmlns="" id="{00000000-0008-0000-0500-000005000000}"/>
            </a:ext>
          </a:extLst>
        </xdr:cNvPr>
        <xdr:cNvSpPr txBox="1">
          <a:spLocks noChangeArrowheads="1"/>
        </xdr:cNvSpPr>
      </xdr:nvSpPr>
      <xdr:spPr bwMode="auto">
        <a:xfrm>
          <a:off x="2793546" y="29813250"/>
          <a:ext cx="10668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1514475</xdr:colOff>
      <xdr:row>51</xdr:row>
      <xdr:rowOff>0</xdr:rowOff>
    </xdr:from>
    <xdr:ext cx="106680" cy="47625"/>
    <xdr:sp macro="" textlink="">
      <xdr:nvSpPr>
        <xdr:cNvPr id="16" name="Text Box 1">
          <a:extLst>
            <a:ext uri="{FF2B5EF4-FFF2-40B4-BE49-F238E27FC236}">
              <a16:creationId xmlns:a16="http://schemas.microsoft.com/office/drawing/2014/main" xmlns="" id="{00000000-0008-0000-0500-000006000000}"/>
            </a:ext>
          </a:extLst>
        </xdr:cNvPr>
        <xdr:cNvSpPr txBox="1">
          <a:spLocks noChangeArrowheads="1"/>
        </xdr:cNvSpPr>
      </xdr:nvSpPr>
      <xdr:spPr bwMode="auto">
        <a:xfrm>
          <a:off x="2793546" y="29813250"/>
          <a:ext cx="10668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1514475</xdr:colOff>
      <xdr:row>51</xdr:row>
      <xdr:rowOff>0</xdr:rowOff>
    </xdr:from>
    <xdr:ext cx="106680" cy="47625"/>
    <xdr:sp macro="" textlink="">
      <xdr:nvSpPr>
        <xdr:cNvPr id="17" name="Text Box 1">
          <a:extLst>
            <a:ext uri="{FF2B5EF4-FFF2-40B4-BE49-F238E27FC236}">
              <a16:creationId xmlns:a16="http://schemas.microsoft.com/office/drawing/2014/main" xmlns="" id="{00000000-0008-0000-0500-000007000000}"/>
            </a:ext>
          </a:extLst>
        </xdr:cNvPr>
        <xdr:cNvSpPr txBox="1">
          <a:spLocks noChangeArrowheads="1"/>
        </xdr:cNvSpPr>
      </xdr:nvSpPr>
      <xdr:spPr bwMode="auto">
        <a:xfrm>
          <a:off x="2793546" y="29813250"/>
          <a:ext cx="10668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1514475</xdr:colOff>
      <xdr:row>51</xdr:row>
      <xdr:rowOff>0</xdr:rowOff>
    </xdr:from>
    <xdr:ext cx="106680" cy="47625"/>
    <xdr:sp macro="" textlink="">
      <xdr:nvSpPr>
        <xdr:cNvPr id="18" name="Text Box 4">
          <a:extLst>
            <a:ext uri="{FF2B5EF4-FFF2-40B4-BE49-F238E27FC236}">
              <a16:creationId xmlns:a16="http://schemas.microsoft.com/office/drawing/2014/main" xmlns="" id="{00000000-0008-0000-0500-000008000000}"/>
            </a:ext>
          </a:extLst>
        </xdr:cNvPr>
        <xdr:cNvSpPr txBox="1">
          <a:spLocks noChangeArrowheads="1"/>
        </xdr:cNvSpPr>
      </xdr:nvSpPr>
      <xdr:spPr bwMode="auto">
        <a:xfrm>
          <a:off x="2793546" y="29813250"/>
          <a:ext cx="10668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1514475</xdr:colOff>
      <xdr:row>51</xdr:row>
      <xdr:rowOff>0</xdr:rowOff>
    </xdr:from>
    <xdr:ext cx="106680" cy="47625"/>
    <xdr:sp macro="" textlink="">
      <xdr:nvSpPr>
        <xdr:cNvPr id="19" name="Text Box 5">
          <a:extLst>
            <a:ext uri="{FF2B5EF4-FFF2-40B4-BE49-F238E27FC236}">
              <a16:creationId xmlns:a16="http://schemas.microsoft.com/office/drawing/2014/main" xmlns="" id="{00000000-0008-0000-0500-000009000000}"/>
            </a:ext>
          </a:extLst>
        </xdr:cNvPr>
        <xdr:cNvSpPr txBox="1">
          <a:spLocks noChangeArrowheads="1"/>
        </xdr:cNvSpPr>
      </xdr:nvSpPr>
      <xdr:spPr bwMode="auto">
        <a:xfrm>
          <a:off x="2793546" y="29813250"/>
          <a:ext cx="10668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1514475</xdr:colOff>
      <xdr:row>51</xdr:row>
      <xdr:rowOff>0</xdr:rowOff>
    </xdr:from>
    <xdr:ext cx="106680" cy="47625"/>
    <xdr:sp macro="" textlink="">
      <xdr:nvSpPr>
        <xdr:cNvPr id="20" name="Text Box 6">
          <a:extLst>
            <a:ext uri="{FF2B5EF4-FFF2-40B4-BE49-F238E27FC236}">
              <a16:creationId xmlns:a16="http://schemas.microsoft.com/office/drawing/2014/main" xmlns="" id="{00000000-0008-0000-0500-00000A000000}"/>
            </a:ext>
          </a:extLst>
        </xdr:cNvPr>
        <xdr:cNvSpPr txBox="1">
          <a:spLocks noChangeArrowheads="1"/>
        </xdr:cNvSpPr>
      </xdr:nvSpPr>
      <xdr:spPr bwMode="auto">
        <a:xfrm>
          <a:off x="2793546" y="29813250"/>
          <a:ext cx="10668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1514475</xdr:colOff>
      <xdr:row>51</xdr:row>
      <xdr:rowOff>0</xdr:rowOff>
    </xdr:from>
    <xdr:ext cx="106680" cy="47625"/>
    <xdr:sp macro="" textlink="">
      <xdr:nvSpPr>
        <xdr:cNvPr id="21" name="Text Box 1">
          <a:extLst>
            <a:ext uri="{FF2B5EF4-FFF2-40B4-BE49-F238E27FC236}">
              <a16:creationId xmlns:a16="http://schemas.microsoft.com/office/drawing/2014/main" xmlns="" id="{00000000-0008-0000-0500-00000B000000}"/>
            </a:ext>
          </a:extLst>
        </xdr:cNvPr>
        <xdr:cNvSpPr txBox="1">
          <a:spLocks noChangeArrowheads="1"/>
        </xdr:cNvSpPr>
      </xdr:nvSpPr>
      <xdr:spPr bwMode="auto">
        <a:xfrm>
          <a:off x="2793546" y="29813250"/>
          <a:ext cx="10668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Y%20EST/Est%20and%20Files%20Gdr/Gdr%20Est/Sub%20Jail/Additional%20Sub%20jail%20Estim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C/Desktop/May/OOTY%20DATA%2020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oganathan/Desktop/share/Indiragandhi/revised%20estimate%202017-18/Final%20D5%20MArina%20Police%20Station.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ead  charge"/>
      <sheetName val="Elec.Data"/>
      <sheetName val="Elec.abs"/>
      <sheetName val="Data"/>
      <sheetName val="Detail"/>
      <sheetName val="Abs"/>
      <sheetName val="Short data"/>
      <sheetName val="cc.road"/>
      <sheetName val="CC ABS"/>
      <sheetName val="septic tank"/>
      <sheetName val="septic abs"/>
      <sheetName val="sump"/>
      <sheetName val="sump abs"/>
      <sheetName val="SULLAGE DRAIN"/>
      <sheetName val="SULLAGE DRAIN ABS"/>
      <sheetName val="storm water"/>
      <sheetName val="STORM ABS"/>
      <sheetName val="compound wall"/>
      <sheetName val="COMPOUND ABS"/>
      <sheetName val="retaining wall"/>
      <sheetName val="retaining wall abs"/>
      <sheetName val="retaining wall abs "/>
      <sheetName val="Sheet1"/>
      <sheetName val="bar bending"/>
    </sheetNames>
    <definedNames>
      <definedName name="Fbi" sheetId="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ile data ( M30 grade) (2)"/>
      <sheetName val="Abstract (21.4.18)"/>
      <sheetName val="G. Abstract (2)"/>
      <sheetName val="pile data ( M20 grade)"/>
      <sheetName val="Building (2)"/>
      <sheetName val="  Coastal  Elec.Data "/>
      <sheetName val="lead  charge"/>
      <sheetName val="Elec.Data"/>
      <sheetName val="Elec.abs"/>
      <sheetName val="Data"/>
      <sheetName val="comp abstract"/>
      <sheetName val="DETAILED ESTIMATE"/>
      <sheetName val="data print"/>
      <sheetName val="Sheet1"/>
      <sheetName val="OHT(A4)"/>
      <sheetName val="Sheet3"/>
      <sheetName val="paver"/>
      <sheetName val="SEPTIC TANK (A4)"/>
      <sheetName val="P.P WALL (A4)"/>
      <sheetName val="SL DRAIN (A4)"/>
      <sheetName val="Storm Water Drain"/>
      <sheetName val="SUMP (A4)"/>
      <sheetName val="Culvert"/>
      <sheetName val="Sliding and french window"/>
      <sheetName val="development"/>
      <sheetName val="G. Abstractfin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860">
          <cell r="K2860">
            <v>1340</v>
          </cell>
        </row>
        <row r="2884">
          <cell r="K2884">
            <v>1344</v>
          </cell>
        </row>
        <row r="2899">
          <cell r="K2899">
            <v>1372</v>
          </cell>
        </row>
        <row r="2921">
          <cell r="K2921">
            <v>1399</v>
          </cell>
        </row>
        <row r="2945">
          <cell r="K2945">
            <v>2507</v>
          </cell>
        </row>
        <row r="2965">
          <cell r="K2965">
            <v>934</v>
          </cell>
        </row>
        <row r="2977">
          <cell r="K2977">
            <v>688</v>
          </cell>
        </row>
        <row r="2988">
          <cell r="K2988">
            <v>129</v>
          </cell>
        </row>
        <row r="3080">
          <cell r="K3080">
            <v>172</v>
          </cell>
        </row>
        <row r="3105">
          <cell r="K3105">
            <v>219</v>
          </cell>
        </row>
        <row r="3135">
          <cell r="K3135">
            <v>462</v>
          </cell>
        </row>
        <row r="3221">
          <cell r="K3221">
            <v>3250</v>
          </cell>
        </row>
        <row r="3233">
          <cell r="K3233">
            <v>4020</v>
          </cell>
        </row>
        <row r="3277">
          <cell r="K3277">
            <v>467</v>
          </cell>
        </row>
        <row r="3289">
          <cell r="I3289">
            <v>82.6</v>
          </cell>
        </row>
        <row r="3313">
          <cell r="I3313">
            <v>4.96</v>
          </cell>
        </row>
        <row r="3316">
          <cell r="I3316">
            <v>3.7</v>
          </cell>
        </row>
        <row r="3319">
          <cell r="K3319">
            <v>2355</v>
          </cell>
        </row>
        <row r="3441">
          <cell r="K3441">
            <v>718</v>
          </cell>
        </row>
        <row r="3458">
          <cell r="K3458">
            <v>2505</v>
          </cell>
        </row>
        <row r="3638">
          <cell r="K3638">
            <v>2579</v>
          </cell>
        </row>
        <row r="3712">
          <cell r="K3712">
            <v>80</v>
          </cell>
        </row>
        <row r="3744">
          <cell r="K3744">
            <v>1920</v>
          </cell>
        </row>
        <row r="3762">
          <cell r="K3762">
            <v>1770</v>
          </cell>
        </row>
        <row r="3767">
          <cell r="K3767">
            <v>1300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ile data ( M20 grade)"/>
      <sheetName val="  Coastal  Elec.Data "/>
      <sheetName val="lead  charge"/>
      <sheetName val="Elec.Data"/>
      <sheetName val="Elec.abs"/>
      <sheetName val="Data"/>
      <sheetName val="Develop"/>
      <sheetName val="Building (2)"/>
      <sheetName val="Abstract"/>
      <sheetName val="G. Abstract (2.11.2017)"/>
      <sheetName val="Sheet1"/>
      <sheetName val="pile data ( M30 grade) (2)"/>
      <sheetName val="Abstract (21.4.18)"/>
      <sheetName val="G. Abstract (2)"/>
      <sheetName val="comp abstract"/>
      <sheetName val="DETAILED ESTIMATE"/>
      <sheetName val="data print"/>
      <sheetName val="OHT(A4)"/>
      <sheetName val="Sheet3"/>
      <sheetName val="paver"/>
      <sheetName val="SEPTIC TANK (A4)"/>
      <sheetName val="P.P WALL (A4)"/>
      <sheetName val="SL DRAIN (A4)"/>
      <sheetName val="Storm Water Drain"/>
      <sheetName val="SUMP (A4)"/>
      <sheetName val="Culvert"/>
      <sheetName val="Sliding and french window"/>
      <sheetName val="development"/>
      <sheetName val="G. Abstractfinal"/>
      <sheetName val="General Abs"/>
      <sheetName val="Circut House"/>
      <sheetName val="DSP Office"/>
      <sheetName val="Admin Block"/>
      <sheetName val="Dormitory"/>
      <sheetName val="Kitchen Cum Dinnng"/>
      <sheetName val="Vehicle shed"/>
      <sheetName val="rail abs"/>
      <sheetName val="CC Road Detail"/>
      <sheetName val="Security detail"/>
      <sheetName val="watch tower detail"/>
    </sheetNames>
    <sheetDataSet>
      <sheetData sheetId="0" refreshError="1"/>
      <sheetData sheetId="1" refreshError="1"/>
      <sheetData sheetId="2" refreshError="1"/>
      <sheetData sheetId="3">
        <row r="3154">
          <cell r="K3154">
            <v>562</v>
          </cell>
        </row>
      </sheetData>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2273" TargetMode="External"/><Relationship Id="rId1" Type="http://schemas.openxmlformats.org/officeDocument/2006/relationships/hyperlink" Target="../../../2273"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abColor rgb="FFFFFF00"/>
  </sheetPr>
  <dimension ref="A1:V58"/>
  <sheetViews>
    <sheetView view="pageBreakPreview" zoomScale="85" zoomScaleNormal="70" zoomScaleSheetLayoutView="85" workbookViewId="0">
      <pane ySplit="1" topLeftCell="A20" activePane="bottomLeft" state="frozen"/>
      <selection activeCell="E39" activeCellId="1" sqref="M52 E39"/>
      <selection pane="bottomLeft" activeCell="H28" sqref="H28"/>
    </sheetView>
  </sheetViews>
  <sheetFormatPr defaultColWidth="9.140625" defaultRowHeight="12.75"/>
  <cols>
    <col min="1" max="3" width="9.140625" style="3"/>
    <col min="4" max="4" width="14.42578125" style="3" customWidth="1"/>
    <col min="5" max="5" width="9.140625" style="3"/>
    <col min="6" max="6" width="6.28515625" style="3" customWidth="1"/>
    <col min="7" max="7" width="10.28515625" style="3" customWidth="1"/>
    <col min="8" max="8" width="8.28515625" style="3" customWidth="1"/>
    <col min="9" max="9" width="5.42578125" style="3" customWidth="1"/>
    <col min="10" max="10" width="10.5703125" style="3" customWidth="1"/>
    <col min="11" max="11" width="7.5703125" style="3" customWidth="1"/>
    <col min="12" max="12" width="7.85546875" style="3" customWidth="1"/>
    <col min="13" max="16384" width="9.140625" style="3"/>
  </cols>
  <sheetData>
    <row r="1" spans="1:22" s="1" customFormat="1" ht="178.5">
      <c r="B1" s="2" t="s">
        <v>0</v>
      </c>
      <c r="C1" s="2"/>
      <c r="D1" s="2" t="s">
        <v>1</v>
      </c>
      <c r="E1" s="2"/>
      <c r="F1" s="2"/>
      <c r="G1" s="2" t="s">
        <v>2</v>
      </c>
      <c r="H1" s="2"/>
      <c r="I1" s="2"/>
      <c r="J1" s="2" t="s">
        <v>3</v>
      </c>
      <c r="K1" s="2"/>
      <c r="L1" s="2"/>
      <c r="M1" s="2" t="s">
        <v>4</v>
      </c>
      <c r="N1" s="2"/>
      <c r="O1" s="2"/>
      <c r="P1" s="2" t="s">
        <v>5</v>
      </c>
      <c r="Q1" s="2"/>
    </row>
    <row r="2" spans="1:22">
      <c r="B2" s="4" t="s">
        <v>6</v>
      </c>
      <c r="C2" s="4"/>
      <c r="D2" s="5" t="s">
        <v>7</v>
      </c>
      <c r="G2" s="6" t="s">
        <v>8</v>
      </c>
    </row>
    <row r="3" spans="1:22">
      <c r="A3" s="3" t="s">
        <v>9</v>
      </c>
      <c r="B3" s="7">
        <v>6.51</v>
      </c>
      <c r="C3" s="3">
        <f>10*B3</f>
        <v>65.099999999999994</v>
      </c>
      <c r="D3" s="7">
        <v>10.4</v>
      </c>
      <c r="E3" s="3">
        <f>10*D3</f>
        <v>104</v>
      </c>
      <c r="G3" s="7">
        <v>8.7799999999999994</v>
      </c>
      <c r="H3" s="3">
        <f>10*G3</f>
        <v>87.8</v>
      </c>
      <c r="J3" s="7">
        <v>11.7</v>
      </c>
      <c r="K3" s="3">
        <f>10*J3</f>
        <v>117</v>
      </c>
      <c r="M3" s="7">
        <v>14.62</v>
      </c>
      <c r="N3" s="3">
        <f>10*M3</f>
        <v>146.19999999999999</v>
      </c>
      <c r="P3" s="7">
        <v>7.14</v>
      </c>
      <c r="Q3" s="8">
        <f>10*P3</f>
        <v>71.399999999999991</v>
      </c>
    </row>
    <row r="4" spans="1:22">
      <c r="A4" s="9" t="s">
        <v>10</v>
      </c>
      <c r="B4" s="7">
        <v>5.57</v>
      </c>
      <c r="C4" s="3">
        <f>+C3+10*B4</f>
        <v>120.8</v>
      </c>
      <c r="D4" s="7">
        <v>8.9</v>
      </c>
      <c r="E4" s="3">
        <f>+E3+10*D4</f>
        <v>193</v>
      </c>
      <c r="G4" s="10">
        <v>7.51</v>
      </c>
      <c r="H4" s="3">
        <f>+H3+10*G4</f>
        <v>162.89999999999998</v>
      </c>
      <c r="J4" s="7">
        <v>10.02</v>
      </c>
      <c r="K4" s="3">
        <f>+K3+10*J4</f>
        <v>217.2</v>
      </c>
      <c r="M4" s="11">
        <v>12.52</v>
      </c>
      <c r="N4" s="3">
        <f>+N3+10*M4</f>
        <v>271.39999999999998</v>
      </c>
      <c r="P4" s="7">
        <v>6.12</v>
      </c>
      <c r="Q4" s="3">
        <f>+Q3+10*P4</f>
        <v>132.6</v>
      </c>
    </row>
    <row r="5" spans="1:22">
      <c r="A5" s="3" t="s">
        <v>11</v>
      </c>
      <c r="B5" s="7">
        <v>4.79</v>
      </c>
      <c r="C5" s="3">
        <f>+C4+20*B5</f>
        <v>216.6</v>
      </c>
      <c r="D5" s="7">
        <v>7.67</v>
      </c>
      <c r="E5" s="3">
        <f>+E4+20*D5</f>
        <v>346.4</v>
      </c>
      <c r="G5" s="7">
        <v>6.45</v>
      </c>
      <c r="H5" s="3">
        <f>+H4+20*G5</f>
        <v>291.89999999999998</v>
      </c>
      <c r="J5" s="7">
        <v>8.6199999999999992</v>
      </c>
      <c r="K5" s="3">
        <f>+K4+20*J5</f>
        <v>389.59999999999997</v>
      </c>
      <c r="M5" s="7">
        <v>10.77</v>
      </c>
      <c r="N5" s="3">
        <f>+N4+20*M5</f>
        <v>486.79999999999995</v>
      </c>
      <c r="P5" s="7">
        <v>5.27</v>
      </c>
      <c r="Q5" s="3">
        <f>+Q4+20*P5</f>
        <v>238</v>
      </c>
    </row>
    <row r="6" spans="1:22">
      <c r="A6" s="3" t="s">
        <v>12</v>
      </c>
      <c r="B6" s="7">
        <v>4.13</v>
      </c>
      <c r="C6" s="3">
        <f>+C5+40*B6</f>
        <v>381.79999999999995</v>
      </c>
      <c r="D6" s="7">
        <v>7.19</v>
      </c>
      <c r="E6" s="3">
        <f>+E5+40*D6</f>
        <v>634</v>
      </c>
      <c r="G6" s="7">
        <v>5.57</v>
      </c>
      <c r="H6" s="3">
        <f>+H5+40*G6</f>
        <v>514.70000000000005</v>
      </c>
      <c r="J6" s="7">
        <v>7.42</v>
      </c>
      <c r="K6" s="3">
        <f>+K5+40*J6</f>
        <v>686.4</v>
      </c>
      <c r="M6" s="7">
        <v>9.3000000000000007</v>
      </c>
      <c r="N6" s="3">
        <f>+N5+40*M6</f>
        <v>858.8</v>
      </c>
      <c r="P6" s="7">
        <v>4.55</v>
      </c>
      <c r="Q6" s="3">
        <f>+Q5+40*P6</f>
        <v>420</v>
      </c>
    </row>
    <row r="7" spans="1:22">
      <c r="A7" s="3" t="s">
        <v>13</v>
      </c>
      <c r="B7" s="7">
        <v>3.77</v>
      </c>
      <c r="D7" s="7">
        <v>6.03</v>
      </c>
      <c r="G7" s="7">
        <v>5.09</v>
      </c>
      <c r="J7" s="7">
        <v>6.78</v>
      </c>
      <c r="M7" s="7">
        <v>8.48</v>
      </c>
      <c r="P7" s="7">
        <v>4.1500000000000004</v>
      </c>
      <c r="Q7" s="3">
        <f>+Q6+40*P7</f>
        <v>586</v>
      </c>
    </row>
    <row r="8" spans="1:22" ht="5.25" customHeight="1"/>
    <row r="9" spans="1:22" ht="6.75" customHeight="1">
      <c r="B9" s="12"/>
      <c r="C9" s="12"/>
    </row>
    <row r="10" spans="1:22" ht="28.5" customHeight="1">
      <c r="A10" s="13"/>
      <c r="B10" s="13" t="s">
        <v>14</v>
      </c>
      <c r="C10" s="13"/>
      <c r="D10" s="13">
        <v>10</v>
      </c>
      <c r="E10" s="14">
        <f>IF(D10&lt;11,D10*$D$3,IF(D10&lt;21,($E$3+(D10-10)*$D$4),IF(D10&lt;41,$E$4+(D10-20)*$D$5,IF(D10&lt;81,($E$5+(D10-40)*$D$6),$E$6+(D10-80)*$D$7))))</f>
        <v>104</v>
      </c>
      <c r="F10" s="13"/>
      <c r="G10" s="13">
        <v>35</v>
      </c>
      <c r="H10" s="13">
        <f>IF(G10&lt;11,G10*$G$3,IF(G10&lt;21,($H$3+(G10-10)*$G$4),IF(G10&lt;41,$H$4+(G10-20)*$G$5,IF(G10&lt;81,($H$5+(G10-40)*$G$6),$H$6+(G10-80)*$G$7))))</f>
        <v>259.64999999999998</v>
      </c>
      <c r="I10" s="13"/>
      <c r="J10" s="13"/>
      <c r="K10" s="13"/>
      <c r="L10" s="15" t="s">
        <v>15</v>
      </c>
      <c r="M10" s="13">
        <v>35</v>
      </c>
      <c r="N10" s="13">
        <f>IF(M10&lt;11,M10*$M$3,IF(M10&lt;21,($N$3+(M10-10)*$M$4),IF(M10&lt;41,$N$4+(M10-20)*$M$5,IF(M10&lt;81,($N$5+(M10-40)*$M$6),$N$6+(M10-80)*$M$7))))</f>
        <v>432.94999999999993</v>
      </c>
      <c r="O10" s="13"/>
      <c r="P10" s="13">
        <f>M10</f>
        <v>35</v>
      </c>
      <c r="Q10" s="3">
        <f>IF(P10&lt;11,P10*$P$3,IF(P10&lt;21,($Q$3+(P10-10)*$P$4),IF(P10&lt;41,$Q$4+(P10-20)*$P$5,IF(P10&lt;81,($Q$5+(P10-40)*$P$6),$Q$6+(P10-80)*$P$7))))</f>
        <v>211.64999999999998</v>
      </c>
      <c r="R10" s="13" t="s">
        <v>16</v>
      </c>
    </row>
    <row r="11" spans="1:22">
      <c r="B11" s="13" t="s">
        <v>17</v>
      </c>
      <c r="C11" s="13"/>
      <c r="D11" s="13">
        <v>4</v>
      </c>
      <c r="E11" s="14">
        <f>IF(D11&lt;11,D11*$D$3,(IF(D11&lt;21,($E$3+(D11-10)*$D$4),(IF(D11&lt;41,$E$4+(D11-20)*$D$5,IF(D11&lt;81,($E$5+(D11-40)*$D$6),$E$6+(D11-80)*$D$7))))))</f>
        <v>41.6</v>
      </c>
      <c r="F11" s="13"/>
      <c r="G11" s="13"/>
      <c r="H11" s="13">
        <v>6</v>
      </c>
      <c r="I11" s="13"/>
      <c r="J11" s="13">
        <v>0</v>
      </c>
      <c r="K11" s="13">
        <f>IF(J11&lt;11,J11*$J$3,IF(J11&lt;21,($K$3+(J11-10)*$J$4),IF(J11&lt;41,$K$4+(J11-20)*$J$5,IF(J11&lt;81,($K$5+(J11-40)*$J$6),$K$6+(J11-80)*$J$7))))/2</f>
        <v>0</v>
      </c>
      <c r="L11" s="16" t="s">
        <v>18</v>
      </c>
      <c r="M11" s="13"/>
      <c r="N11" s="13"/>
      <c r="O11" s="13"/>
      <c r="P11" s="13">
        <v>0</v>
      </c>
      <c r="Q11" s="3">
        <f>IF(P11&lt;11,P11*$P$3,IF(P11&lt;21,($Q$3+(P11-10)*$P$4),IF(P11&lt;41,$Q$4+(P11-20)*$P$5,IF(P11&lt;81,($Q$5+(P11-40)*$P$6),$Q$6+(P11-80)*$P$7))))</f>
        <v>0</v>
      </c>
      <c r="R11" s="13" t="s">
        <v>19</v>
      </c>
      <c r="T11" s="13" t="s">
        <v>20</v>
      </c>
    </row>
    <row r="12" spans="1:22" ht="21" customHeight="1">
      <c r="B12" s="15" t="s">
        <v>21</v>
      </c>
      <c r="C12" s="15"/>
      <c r="D12" s="13">
        <v>10</v>
      </c>
      <c r="E12" s="13">
        <f>IF(D12&lt;11,D12*$D$3,(IF(D12&lt;21,($E$3+(D12-10)*$D$4),(IF(D12&lt;41,$E$4+(D12-20)*$D$5,IF(D12&lt;81,($E$5+(D12-40)*$D$6),$E$6+(D12-80)*$D$7))))))</f>
        <v>104</v>
      </c>
      <c r="F12" s="13"/>
      <c r="G12" s="13"/>
      <c r="H12" s="13"/>
      <c r="I12" s="13"/>
      <c r="J12" s="13">
        <v>0</v>
      </c>
      <c r="K12" s="13">
        <f>IF(J12&lt;11,J12*$J$3,IF(J12&lt;21,($K$3+(J12-10)*$J$4),IF(J12&lt;41,$K$4+(J12-20)*$J$5,IF(J12&lt;81,($K$5+(J12-40)*$J$6),$K$6+(J12-80)*$J$7))))/2</f>
        <v>0</v>
      </c>
      <c r="L12" s="13"/>
      <c r="M12" s="13"/>
      <c r="N12" s="13">
        <f>90+77.5+6.85*20+5.7*23</f>
        <v>435.6</v>
      </c>
      <c r="O12" s="13"/>
      <c r="P12" s="13">
        <v>0</v>
      </c>
      <c r="Q12" s="3">
        <f>IF(P12&lt;11,P12*$P$3,IF(P12&lt;21,($Q$3+(P12-10)*$P$4),IF(P12&lt;41,$Q$4+(P12-20)*$P$5,IF(P12&lt;81,($Q$5+(P12-40)*$P$6),$Q$6+(P12-80)*$P$7))))</f>
        <v>0</v>
      </c>
      <c r="R12" s="13" t="s">
        <v>22</v>
      </c>
      <c r="T12" s="3">
        <f>8.69*6</f>
        <v>52.14</v>
      </c>
      <c r="U12" s="6" t="s">
        <v>23</v>
      </c>
    </row>
    <row r="13" spans="1:22">
      <c r="B13" s="13" t="s">
        <v>24</v>
      </c>
      <c r="C13" s="13"/>
      <c r="D13" s="13">
        <v>0</v>
      </c>
      <c r="E13" s="14">
        <f>IF(D13&lt;11,D13*$D$3,(IF(D13&lt;21,($E$3+(D13-10)*$D$4),(IF(D13&lt;41,$E$4+(D13-20)*$D$5,IF(D13&lt;81,($E$5+(D13-40)*$D$6),$E$6+(D13-80)*$D$7))))))</f>
        <v>0</v>
      </c>
      <c r="F13" s="13"/>
      <c r="G13" s="13"/>
      <c r="H13" s="13"/>
      <c r="I13" s="13"/>
      <c r="J13" s="13"/>
      <c r="K13" s="13"/>
      <c r="L13" s="13"/>
      <c r="M13" s="13"/>
      <c r="N13" s="13"/>
      <c r="O13" s="13"/>
      <c r="P13" s="13">
        <v>0</v>
      </c>
      <c r="Q13" s="3">
        <f>IF(P13&lt;11,P13*$P$3,IF(P13&lt;21,($Q$3+(P13-10)*$P$4),IF(P13&lt;41,$Q$4+(P13-20)*$P$5,IF(P13&lt;81,($Q$5+(P13-40)*$P$6),$Q$6+(P13-80)*$P$7))))</f>
        <v>0</v>
      </c>
      <c r="R13" s="13" t="s">
        <v>25</v>
      </c>
    </row>
    <row r="14" spans="1:22">
      <c r="B14" s="13" t="s">
        <v>26</v>
      </c>
      <c r="C14" s="13"/>
      <c r="D14" s="3">
        <v>0</v>
      </c>
      <c r="E14" s="3">
        <f>IF(D14&lt;11,D14*$B$3,(IF(D14&lt;21,($C$3+(D14-10)*$B$4),(IF(D14&lt;41,$C$4+(D14-20)*$B$5,IF(D14&lt;81,($C$5+(D14-40)*$B$6),$C$6+(D14-80)*$B$7))))))</f>
        <v>0</v>
      </c>
      <c r="T14" s="13" t="s">
        <v>27</v>
      </c>
      <c r="U14" s="3">
        <f>8.69+7.44+6.4+6</f>
        <v>28.53</v>
      </c>
      <c r="V14" s="3">
        <f>U14*44</f>
        <v>1255.3200000000002</v>
      </c>
    </row>
    <row r="15" spans="1:22">
      <c r="B15" s="13" t="s">
        <v>28</v>
      </c>
      <c r="D15" s="3">
        <v>0</v>
      </c>
      <c r="E15" s="3">
        <f>IF(D15&lt;11,D15*$B$3,(IF(D15&lt;21,($C$3+(D15-10)*$B$4),(IF(D15&lt;41,$C$4+(D15-20)*$B$5,IF(D15&lt;81,($C$5+(D15-40)*$B$6),$C$6+(D15-80)*$B$7))))))</f>
        <v>0</v>
      </c>
    </row>
    <row r="16" spans="1:22">
      <c r="B16" s="13" t="s">
        <v>29</v>
      </c>
      <c r="D16" s="3">
        <v>0</v>
      </c>
      <c r="E16" s="8">
        <f t="shared" ref="E16:E21" si="0">IF(D16&lt;11,D16*$D$3,(IF(D16&lt;21,($E$3+(D16-10)*$D$4),(IF(D16&lt;41,$E$4+(D16-20)*$D$5,IF(D16&lt;81,($E$5+(D16-40)*$D$6),$E$6+(D16-80)*$D$7))))))</f>
        <v>0</v>
      </c>
      <c r="U16" s="3">
        <f>8.69*10</f>
        <v>86.899999999999991</v>
      </c>
    </row>
    <row r="17" spans="1:21">
      <c r="B17" s="3" t="s">
        <v>30</v>
      </c>
      <c r="E17" s="3">
        <f t="shared" si="0"/>
        <v>0</v>
      </c>
      <c r="U17" s="3">
        <f>7.44*10</f>
        <v>74.400000000000006</v>
      </c>
    </row>
    <row r="18" spans="1:21">
      <c r="D18" s="13">
        <v>0</v>
      </c>
      <c r="E18" s="3">
        <f t="shared" si="0"/>
        <v>0</v>
      </c>
      <c r="G18" s="8"/>
      <c r="H18" s="8">
        <f>(G18+G19)/2</f>
        <v>0</v>
      </c>
      <c r="U18" s="3">
        <f>6.4*20</f>
        <v>128</v>
      </c>
    </row>
    <row r="19" spans="1:21">
      <c r="D19" s="13">
        <v>0</v>
      </c>
      <c r="E19" s="3">
        <f t="shared" si="0"/>
        <v>0</v>
      </c>
      <c r="G19" s="8"/>
      <c r="H19" s="3">
        <f>15+20+25+0.2</f>
        <v>60.2</v>
      </c>
      <c r="U19" s="3">
        <f>6*4</f>
        <v>24</v>
      </c>
    </row>
    <row r="20" spans="1:21">
      <c r="D20" s="13">
        <v>0</v>
      </c>
      <c r="E20" s="3">
        <f t="shared" si="0"/>
        <v>0</v>
      </c>
      <c r="G20" s="8"/>
      <c r="U20" s="6">
        <f>SUM(U16:U19)</f>
        <v>313.3</v>
      </c>
    </row>
    <row r="21" spans="1:21">
      <c r="D21" s="13">
        <v>0</v>
      </c>
      <c r="E21" s="3">
        <f t="shared" si="0"/>
        <v>0</v>
      </c>
      <c r="G21" s="8"/>
    </row>
    <row r="22" spans="1:21">
      <c r="G22" s="8"/>
    </row>
    <row r="23" spans="1:21">
      <c r="A23" s="17" t="s">
        <v>31</v>
      </c>
      <c r="B23" s="17"/>
      <c r="C23" s="17"/>
      <c r="D23" s="17"/>
      <c r="E23" s="17"/>
      <c r="F23" s="17"/>
      <c r="G23" s="18"/>
      <c r="H23" s="17"/>
      <c r="I23" s="17"/>
      <c r="J23" s="17"/>
      <c r="K23" s="17"/>
      <c r="L23" s="17"/>
      <c r="M23" s="17"/>
      <c r="N23" s="17"/>
      <c r="O23" s="17"/>
      <c r="P23" s="17"/>
      <c r="Q23" s="17"/>
      <c r="R23" s="17"/>
      <c r="S23" s="17"/>
    </row>
    <row r="24" spans="1:21">
      <c r="A24" s="17" t="s">
        <v>9</v>
      </c>
      <c r="B24" s="19">
        <v>13.02</v>
      </c>
      <c r="C24" s="17">
        <f>10*B24</f>
        <v>130.19999999999999</v>
      </c>
      <c r="D24" s="19">
        <v>20.8</v>
      </c>
      <c r="E24" s="17">
        <f>10*D24</f>
        <v>208</v>
      </c>
      <c r="F24" s="17"/>
      <c r="G24" s="19">
        <v>17.559999999999999</v>
      </c>
      <c r="H24" s="17">
        <f>10*G24</f>
        <v>175.6</v>
      </c>
      <c r="I24" s="17"/>
      <c r="J24" s="19">
        <v>23.4</v>
      </c>
      <c r="K24" s="17">
        <f>10*J24</f>
        <v>234</v>
      </c>
      <c r="L24" s="17"/>
      <c r="M24" s="19">
        <v>29.24</v>
      </c>
      <c r="N24" s="17">
        <f>10*M24</f>
        <v>292.39999999999998</v>
      </c>
      <c r="O24" s="17"/>
      <c r="P24" s="19">
        <v>14.28</v>
      </c>
      <c r="Q24" s="18">
        <f>10*P24</f>
        <v>142.79999999999998</v>
      </c>
      <c r="R24" s="17"/>
      <c r="S24" s="17"/>
    </row>
    <row r="25" spans="1:21">
      <c r="A25" s="20" t="s">
        <v>10</v>
      </c>
      <c r="B25" s="19">
        <v>11.14</v>
      </c>
      <c r="C25" s="17">
        <f>+C24+10*B25</f>
        <v>241.6</v>
      </c>
      <c r="D25" s="19">
        <v>17.8</v>
      </c>
      <c r="E25" s="17">
        <f>+E24+10*D25</f>
        <v>386</v>
      </c>
      <c r="F25" s="17"/>
      <c r="G25" s="19">
        <v>15.02</v>
      </c>
      <c r="H25" s="17">
        <f>+H24+10*G25</f>
        <v>325.79999999999995</v>
      </c>
      <c r="I25" s="17"/>
      <c r="J25" s="19">
        <v>20.04</v>
      </c>
      <c r="K25" s="17">
        <f>+K24+10*J25</f>
        <v>434.4</v>
      </c>
      <c r="L25" s="17"/>
      <c r="M25" s="21">
        <v>25.04</v>
      </c>
      <c r="N25" s="17">
        <f>+N24+10*M25</f>
        <v>542.79999999999995</v>
      </c>
      <c r="O25" s="17"/>
      <c r="P25" s="19">
        <v>12.24</v>
      </c>
      <c r="Q25" s="17">
        <f>+Q24+10*P25</f>
        <v>265.2</v>
      </c>
      <c r="R25" s="17"/>
      <c r="S25" s="17"/>
    </row>
    <row r="26" spans="1:21">
      <c r="A26" s="17" t="s">
        <v>11</v>
      </c>
      <c r="B26" s="19">
        <v>9.58</v>
      </c>
      <c r="C26" s="17">
        <f>+C25+20*B26</f>
        <v>433.2</v>
      </c>
      <c r="D26" s="19">
        <v>15.34</v>
      </c>
      <c r="E26" s="17">
        <f>+E25+20*D26</f>
        <v>692.8</v>
      </c>
      <c r="F26" s="17"/>
      <c r="G26" s="19">
        <v>12.9</v>
      </c>
      <c r="H26" s="17">
        <f>+H25+20*G26</f>
        <v>583.79999999999995</v>
      </c>
      <c r="I26" s="17"/>
      <c r="J26" s="19">
        <v>17.239999999999998</v>
      </c>
      <c r="K26" s="17">
        <f>+K25+20*J26</f>
        <v>779.19999999999993</v>
      </c>
      <c r="L26" s="17"/>
      <c r="M26" s="19">
        <v>21.54</v>
      </c>
      <c r="N26" s="17">
        <f>+N25+20*M26</f>
        <v>973.59999999999991</v>
      </c>
      <c r="O26" s="17"/>
      <c r="P26" s="19">
        <v>10.54</v>
      </c>
      <c r="Q26" s="17">
        <f>+Q25+20*P26</f>
        <v>476</v>
      </c>
      <c r="R26" s="17"/>
      <c r="S26" s="17"/>
    </row>
    <row r="27" spans="1:21">
      <c r="A27" s="17" t="s">
        <v>12</v>
      </c>
      <c r="B27" s="19">
        <v>8.26</v>
      </c>
      <c r="C27" s="17">
        <f>+C26+40*B27</f>
        <v>763.59999999999991</v>
      </c>
      <c r="D27" s="19">
        <v>14.38</v>
      </c>
      <c r="E27" s="17">
        <f>+E26+40*D27</f>
        <v>1268</v>
      </c>
      <c r="F27" s="17"/>
      <c r="G27" s="19">
        <v>11.14</v>
      </c>
      <c r="H27" s="17">
        <f>+H26+40*G27</f>
        <v>1029.4000000000001</v>
      </c>
      <c r="I27" s="17"/>
      <c r="J27" s="19">
        <v>14.84</v>
      </c>
      <c r="K27" s="17">
        <f>+K26+40*J27</f>
        <v>1372.8</v>
      </c>
      <c r="L27" s="17"/>
      <c r="M27" s="19">
        <v>18.600000000000001</v>
      </c>
      <c r="N27" s="17">
        <f>+N26+40*M27</f>
        <v>1717.6</v>
      </c>
      <c r="O27" s="17"/>
      <c r="P27" s="19">
        <v>9.1</v>
      </c>
      <c r="Q27" s="17">
        <f>+Q26+40*P27</f>
        <v>840</v>
      </c>
      <c r="R27" s="17"/>
      <c r="S27" s="17"/>
    </row>
    <row r="28" spans="1:21">
      <c r="A28" s="17" t="s">
        <v>13</v>
      </c>
      <c r="B28" s="19">
        <v>7.54</v>
      </c>
      <c r="C28" s="17"/>
      <c r="D28" s="19">
        <v>12.06</v>
      </c>
      <c r="E28" s="17"/>
      <c r="F28" s="17"/>
      <c r="G28" s="19">
        <v>10.18</v>
      </c>
      <c r="H28" s="17"/>
      <c r="I28" s="17"/>
      <c r="J28" s="19">
        <v>13.56</v>
      </c>
      <c r="K28" s="17"/>
      <c r="L28" s="17"/>
      <c r="M28" s="19">
        <v>16.96</v>
      </c>
      <c r="N28" s="17"/>
      <c r="O28" s="17"/>
      <c r="P28" s="19">
        <v>8.3000000000000007</v>
      </c>
      <c r="Q28" s="17"/>
      <c r="R28" s="17"/>
      <c r="S28" s="17"/>
    </row>
    <row r="29" spans="1:21">
      <c r="A29" s="17"/>
      <c r="B29" s="17"/>
      <c r="C29" s="17"/>
      <c r="D29" s="17"/>
      <c r="E29" s="17"/>
      <c r="F29" s="17"/>
      <c r="G29" s="17"/>
      <c r="H29" s="17"/>
      <c r="I29" s="17"/>
      <c r="J29" s="17"/>
      <c r="K29" s="17"/>
      <c r="L29" s="17"/>
      <c r="M29" s="17"/>
      <c r="N29" s="17"/>
      <c r="O29" s="17"/>
      <c r="P29" s="17"/>
      <c r="Q29" s="17"/>
      <c r="R29" s="17"/>
      <c r="S29" s="17"/>
    </row>
    <row r="30" spans="1:21">
      <c r="A30" s="22"/>
      <c r="B30" s="708" t="s">
        <v>26</v>
      </c>
      <c r="C30" s="708"/>
      <c r="D30" s="708" t="s">
        <v>32</v>
      </c>
      <c r="E30" s="708"/>
      <c r="F30" s="23"/>
      <c r="G30" s="709" t="s">
        <v>33</v>
      </c>
      <c r="H30" s="709"/>
      <c r="I30" s="17"/>
      <c r="J30" s="708" t="s">
        <v>34</v>
      </c>
      <c r="K30" s="708"/>
      <c r="L30" s="17"/>
      <c r="M30" s="17"/>
      <c r="N30" s="17"/>
      <c r="O30" s="17"/>
      <c r="P30" s="17"/>
      <c r="Q30" s="17"/>
      <c r="R30" s="17"/>
      <c r="S30" s="17"/>
    </row>
    <row r="31" spans="1:21">
      <c r="A31" s="17" t="s">
        <v>9</v>
      </c>
      <c r="B31" s="17">
        <v>0</v>
      </c>
      <c r="C31" s="18">
        <f>B31*B24</f>
        <v>0</v>
      </c>
      <c r="D31" s="17">
        <v>0</v>
      </c>
      <c r="E31" s="18">
        <f>D31*D24</f>
        <v>0</v>
      </c>
      <c r="F31" s="17"/>
      <c r="G31" s="17">
        <v>0</v>
      </c>
      <c r="H31" s="18">
        <f>G31*G24</f>
        <v>0</v>
      </c>
      <c r="I31" s="18"/>
      <c r="J31" s="17">
        <v>0</v>
      </c>
      <c r="K31" s="18">
        <f>J31*J24</f>
        <v>0</v>
      </c>
      <c r="L31" s="17"/>
      <c r="M31" s="17">
        <v>0</v>
      </c>
      <c r="N31" s="18">
        <f>M31*M24</f>
        <v>0</v>
      </c>
      <c r="O31" s="17"/>
      <c r="P31" s="17">
        <v>0</v>
      </c>
      <c r="Q31" s="18">
        <f>P31*P24</f>
        <v>0</v>
      </c>
      <c r="R31" s="17"/>
      <c r="S31" s="17"/>
    </row>
    <row r="32" spans="1:21">
      <c r="A32" s="20" t="s">
        <v>10</v>
      </c>
      <c r="B32" s="17">
        <v>0</v>
      </c>
      <c r="C32" s="18">
        <f>B32*B25</f>
        <v>0</v>
      </c>
      <c r="D32" s="17">
        <v>10</v>
      </c>
      <c r="E32" s="18">
        <f>D32*D25</f>
        <v>178</v>
      </c>
      <c r="F32" s="17"/>
      <c r="G32" s="17">
        <v>0</v>
      </c>
      <c r="H32" s="18">
        <f>G32*G25</f>
        <v>0</v>
      </c>
      <c r="I32" s="18"/>
      <c r="J32" s="17">
        <v>0</v>
      </c>
      <c r="K32" s="18">
        <f>J32*J25</f>
        <v>0</v>
      </c>
      <c r="L32" s="17"/>
      <c r="M32" s="17">
        <v>0</v>
      </c>
      <c r="N32" s="18">
        <f>M32*M25</f>
        <v>0</v>
      </c>
      <c r="O32" s="17"/>
      <c r="P32" s="17">
        <v>0</v>
      </c>
      <c r="Q32" s="18">
        <f>P32*P25</f>
        <v>0</v>
      </c>
      <c r="R32" s="17"/>
      <c r="S32" s="17"/>
    </row>
    <row r="33" spans="1:19">
      <c r="A33" s="17" t="s">
        <v>11</v>
      </c>
      <c r="B33" s="17">
        <v>0</v>
      </c>
      <c r="C33" s="18">
        <f>B33*B26</f>
        <v>0</v>
      </c>
      <c r="D33" s="17">
        <v>20</v>
      </c>
      <c r="E33" s="18">
        <f>D33*D26</f>
        <v>306.8</v>
      </c>
      <c r="F33" s="24"/>
      <c r="G33" s="17">
        <v>5</v>
      </c>
      <c r="H33" s="18">
        <f>G33*G26</f>
        <v>64.5</v>
      </c>
      <c r="I33" s="17"/>
      <c r="J33" s="17">
        <v>0</v>
      </c>
      <c r="K33" s="18">
        <f>J33*J26</f>
        <v>0</v>
      </c>
      <c r="L33" s="17"/>
      <c r="M33" s="17">
        <v>5</v>
      </c>
      <c r="N33" s="18">
        <f>M33*M26</f>
        <v>107.69999999999999</v>
      </c>
      <c r="O33" s="17"/>
      <c r="P33" s="17">
        <v>5</v>
      </c>
      <c r="Q33" s="18">
        <f>P33*P26</f>
        <v>52.699999999999996</v>
      </c>
      <c r="R33" s="17"/>
      <c r="S33" s="17"/>
    </row>
    <row r="34" spans="1:19">
      <c r="A34" s="17" t="s">
        <v>12</v>
      </c>
      <c r="B34" s="17">
        <v>0</v>
      </c>
      <c r="C34" s="25">
        <f>B34*B27</f>
        <v>0</v>
      </c>
      <c r="D34" s="17">
        <v>40</v>
      </c>
      <c r="E34" s="18">
        <f>D34*D27</f>
        <v>575.20000000000005</v>
      </c>
      <c r="F34" s="17"/>
      <c r="G34" s="17">
        <v>40</v>
      </c>
      <c r="H34" s="18">
        <f>G34*G27</f>
        <v>445.6</v>
      </c>
      <c r="I34" s="18"/>
      <c r="J34" s="17">
        <v>0</v>
      </c>
      <c r="K34" s="18">
        <f>J34*J27</f>
        <v>0</v>
      </c>
      <c r="L34" s="17"/>
      <c r="M34" s="17">
        <v>40</v>
      </c>
      <c r="N34" s="18">
        <f>M34*M27</f>
        <v>744</v>
      </c>
      <c r="O34" s="17"/>
      <c r="P34" s="17">
        <v>40</v>
      </c>
      <c r="Q34" s="18">
        <f>P34*P27</f>
        <v>364</v>
      </c>
      <c r="R34" s="17"/>
      <c r="S34" s="17"/>
    </row>
    <row r="35" spans="1:19">
      <c r="A35" s="17" t="s">
        <v>13</v>
      </c>
      <c r="B35" s="17">
        <v>0</v>
      </c>
      <c r="C35" s="18">
        <f>B35*B28</f>
        <v>0</v>
      </c>
      <c r="D35" s="17">
        <v>30</v>
      </c>
      <c r="E35" s="18">
        <f>D35*D28</f>
        <v>361.8</v>
      </c>
      <c r="F35" s="17"/>
      <c r="G35" s="17">
        <v>55</v>
      </c>
      <c r="H35" s="18">
        <f>G35*G28</f>
        <v>559.9</v>
      </c>
      <c r="I35" s="17"/>
      <c r="J35" s="17">
        <v>0</v>
      </c>
      <c r="K35" s="18">
        <f>J35*J28</f>
        <v>0</v>
      </c>
      <c r="L35" s="17"/>
      <c r="M35" s="17">
        <v>55</v>
      </c>
      <c r="N35" s="18">
        <f>M35*M28</f>
        <v>932.80000000000007</v>
      </c>
      <c r="O35" s="17"/>
      <c r="P35" s="17">
        <v>55</v>
      </c>
      <c r="Q35" s="18">
        <f>P35*P28</f>
        <v>456.50000000000006</v>
      </c>
      <c r="R35" s="17"/>
      <c r="S35" s="17"/>
    </row>
    <row r="36" spans="1:19">
      <c r="A36" s="17"/>
      <c r="B36" s="17">
        <f>SUM(B31:B35)</f>
        <v>0</v>
      </c>
      <c r="C36" s="25">
        <f>SUM(C31:C35)</f>
        <v>0</v>
      </c>
      <c r="D36" s="17">
        <f>SUM(D31:D35)</f>
        <v>100</v>
      </c>
      <c r="E36" s="22">
        <f>SUM(E31:E35)</f>
        <v>1421.8</v>
      </c>
      <c r="F36" s="17"/>
      <c r="G36" s="17">
        <f>SUM(G31:G35)</f>
        <v>100</v>
      </c>
      <c r="H36" s="25">
        <f>SUM(H31:H35)</f>
        <v>1070</v>
      </c>
      <c r="I36" s="17"/>
      <c r="J36" s="17">
        <f>SUM(J31:J35)</f>
        <v>0</v>
      </c>
      <c r="K36" s="25">
        <f>SUM(K31:K35)</f>
        <v>0</v>
      </c>
      <c r="L36" s="17"/>
      <c r="M36" s="17">
        <f>SUM(M31:M35)</f>
        <v>100</v>
      </c>
      <c r="N36" s="25">
        <f>SUM(N31:N35)</f>
        <v>1784.5</v>
      </c>
      <c r="O36" s="17"/>
      <c r="P36" s="17">
        <f>SUM(P31:P35)</f>
        <v>100</v>
      </c>
      <c r="Q36" s="25">
        <f>SUM(Q31:Q35)</f>
        <v>873.2</v>
      </c>
      <c r="R36" s="17"/>
      <c r="S36" s="17"/>
    </row>
    <row r="37" spans="1:19">
      <c r="A37" s="17"/>
      <c r="B37" s="17"/>
      <c r="C37" s="17"/>
      <c r="D37" s="708" t="s">
        <v>35</v>
      </c>
      <c r="E37" s="708"/>
      <c r="F37" s="17"/>
      <c r="G37" s="17"/>
      <c r="H37" s="17"/>
      <c r="I37" s="18"/>
      <c r="J37" s="17"/>
      <c r="K37" s="17"/>
      <c r="L37" s="17"/>
      <c r="M37" s="17"/>
      <c r="N37" s="17"/>
      <c r="O37" s="17"/>
      <c r="P37" s="17" t="s">
        <v>36</v>
      </c>
      <c r="Q37" s="17"/>
      <c r="R37" s="17"/>
      <c r="S37" s="17"/>
    </row>
    <row r="38" spans="1:19">
      <c r="A38" s="17"/>
      <c r="B38" s="17"/>
      <c r="C38" s="17"/>
      <c r="D38" s="17">
        <v>0</v>
      </c>
      <c r="E38" s="18">
        <f>D38*D24</f>
        <v>0</v>
      </c>
      <c r="F38" s="17"/>
      <c r="G38" s="17"/>
      <c r="H38" s="17"/>
      <c r="I38" s="17"/>
      <c r="J38" s="17"/>
      <c r="K38" s="17"/>
      <c r="L38" s="17"/>
      <c r="M38" s="17"/>
      <c r="N38" s="17"/>
      <c r="O38" s="17"/>
      <c r="P38" s="17">
        <v>0</v>
      </c>
      <c r="Q38" s="18">
        <f>P38*P31</f>
        <v>0</v>
      </c>
      <c r="R38" s="17"/>
      <c r="S38" s="17"/>
    </row>
    <row r="39" spans="1:19">
      <c r="A39" s="17"/>
      <c r="B39" s="17"/>
      <c r="C39" s="17"/>
      <c r="D39" s="17">
        <v>0</v>
      </c>
      <c r="E39" s="18">
        <f>D39*D25</f>
        <v>0</v>
      </c>
      <c r="F39" s="17"/>
      <c r="G39" s="17">
        <f>124-G36</f>
        <v>24</v>
      </c>
      <c r="H39" s="17"/>
      <c r="I39" s="17"/>
      <c r="J39" s="17"/>
      <c r="K39" s="18"/>
      <c r="L39" s="18"/>
      <c r="M39" s="17"/>
      <c r="N39" s="17"/>
      <c r="O39" s="17"/>
      <c r="P39" s="17">
        <v>0</v>
      </c>
      <c r="Q39" s="18">
        <f>P39*P32</f>
        <v>0</v>
      </c>
      <c r="R39" s="17"/>
      <c r="S39" s="17"/>
    </row>
    <row r="40" spans="1:19">
      <c r="A40" s="17"/>
      <c r="B40" s="17"/>
      <c r="C40" s="17"/>
      <c r="D40" s="17">
        <v>0</v>
      </c>
      <c r="E40" s="18">
        <f>D40*D26</f>
        <v>0</v>
      </c>
      <c r="F40" s="17"/>
      <c r="G40" s="17"/>
      <c r="H40" s="17"/>
      <c r="I40" s="17"/>
      <c r="J40" s="17"/>
      <c r="K40" s="18"/>
      <c r="L40" s="17"/>
      <c r="M40" s="17"/>
      <c r="N40" s="17"/>
      <c r="O40" s="17"/>
      <c r="P40" s="17">
        <v>0</v>
      </c>
      <c r="Q40" s="18">
        <f>P40*P33</f>
        <v>0</v>
      </c>
      <c r="R40" s="17"/>
      <c r="S40" s="17"/>
    </row>
    <row r="41" spans="1:19">
      <c r="A41" s="17"/>
      <c r="B41" s="17"/>
      <c r="C41" s="17"/>
      <c r="D41" s="17">
        <v>0</v>
      </c>
      <c r="E41" s="18">
        <f>D41*D27</f>
        <v>0</v>
      </c>
      <c r="F41" s="17"/>
      <c r="G41" s="17"/>
      <c r="H41" s="17"/>
      <c r="I41" s="17"/>
      <c r="J41" s="17"/>
      <c r="K41" s="18"/>
      <c r="L41" s="17"/>
      <c r="M41" s="17"/>
      <c r="N41" s="17"/>
      <c r="O41" s="17"/>
      <c r="P41" s="17">
        <v>0</v>
      </c>
      <c r="Q41" s="18">
        <f>P41*P34</f>
        <v>0</v>
      </c>
      <c r="R41" s="17"/>
      <c r="S41" s="17"/>
    </row>
    <row r="42" spans="1:19">
      <c r="A42" s="17"/>
      <c r="B42" s="17"/>
      <c r="C42" s="17"/>
      <c r="D42" s="17">
        <v>0</v>
      </c>
      <c r="E42" s="18">
        <f>D42*D28</f>
        <v>0</v>
      </c>
      <c r="F42" s="17"/>
      <c r="G42" s="17"/>
      <c r="H42" s="17"/>
      <c r="I42" s="17"/>
      <c r="J42" s="17"/>
      <c r="K42" s="18"/>
      <c r="L42" s="17"/>
      <c r="M42" s="17"/>
      <c r="N42" s="17"/>
      <c r="O42" s="17"/>
      <c r="P42" s="17">
        <v>0</v>
      </c>
      <c r="Q42" s="18">
        <f>P42*P35</f>
        <v>0</v>
      </c>
      <c r="R42" s="17"/>
      <c r="S42" s="17"/>
    </row>
    <row r="43" spans="1:19">
      <c r="A43" s="17"/>
      <c r="B43" s="17"/>
      <c r="C43" s="17"/>
      <c r="D43" s="17">
        <f>SUM(D39:D42)</f>
        <v>0</v>
      </c>
      <c r="E43" s="25">
        <f>SUM(E38:E42)</f>
        <v>0</v>
      </c>
      <c r="F43" s="17"/>
      <c r="G43" s="17"/>
      <c r="H43" s="17"/>
      <c r="I43" s="17"/>
      <c r="J43" s="17"/>
      <c r="K43" s="18"/>
      <c r="L43" s="17"/>
      <c r="M43" s="17"/>
      <c r="N43" s="17"/>
      <c r="O43" s="17"/>
      <c r="P43" s="17">
        <f>SUM(P38:P42)</f>
        <v>0</v>
      </c>
      <c r="Q43" s="25">
        <f>SUM(Q38:Q42)</f>
        <v>0</v>
      </c>
      <c r="R43" s="17"/>
      <c r="S43" s="17"/>
    </row>
    <row r="44" spans="1:19">
      <c r="A44" s="17"/>
      <c r="B44" s="17"/>
      <c r="C44" s="17"/>
      <c r="D44" s="22" t="s">
        <v>37</v>
      </c>
      <c r="E44" s="17"/>
      <c r="F44" s="17"/>
      <c r="G44" s="17"/>
      <c r="H44" s="17"/>
      <c r="I44" s="17"/>
      <c r="J44" s="17"/>
      <c r="K44" s="18"/>
      <c r="L44" s="17"/>
      <c r="M44" s="17"/>
      <c r="N44" s="17"/>
      <c r="O44" s="17"/>
      <c r="P44" s="17"/>
      <c r="Q44" s="17"/>
      <c r="R44" s="17"/>
      <c r="S44" s="17"/>
    </row>
    <row r="45" spans="1:19">
      <c r="A45" s="17"/>
      <c r="B45" s="17"/>
      <c r="C45" s="17"/>
      <c r="D45" s="17">
        <v>6</v>
      </c>
      <c r="E45" s="18">
        <f>D45*D24</f>
        <v>124.80000000000001</v>
      </c>
      <c r="F45" s="17"/>
      <c r="G45" s="17"/>
      <c r="H45" s="17"/>
      <c r="I45" s="17"/>
      <c r="J45" s="17"/>
      <c r="K45" s="18"/>
      <c r="L45" s="17"/>
      <c r="M45" s="17"/>
      <c r="N45" s="17"/>
      <c r="O45" s="17"/>
      <c r="P45" s="17"/>
      <c r="Q45" s="17"/>
      <c r="R45" s="17"/>
      <c r="S45" s="17"/>
    </row>
    <row r="46" spans="1:19">
      <c r="A46" s="17"/>
      <c r="B46" s="17"/>
      <c r="C46" s="17"/>
      <c r="D46" s="17">
        <v>10</v>
      </c>
      <c r="E46" s="18">
        <f>D46*D25</f>
        <v>178</v>
      </c>
      <c r="F46" s="17"/>
      <c r="G46" s="17"/>
      <c r="H46" s="17"/>
      <c r="I46" s="17"/>
      <c r="J46" s="17"/>
      <c r="K46" s="18"/>
      <c r="L46" s="17"/>
      <c r="M46" s="17"/>
      <c r="N46" s="17"/>
      <c r="O46" s="17"/>
      <c r="P46" s="17"/>
      <c r="Q46" s="17"/>
      <c r="R46" s="17"/>
      <c r="S46" s="17"/>
    </row>
    <row r="47" spans="1:19">
      <c r="A47" s="17"/>
      <c r="B47" s="17"/>
      <c r="C47" s="17"/>
      <c r="D47" s="17">
        <v>20</v>
      </c>
      <c r="E47" s="18">
        <f>D47*D26</f>
        <v>306.8</v>
      </c>
      <c r="F47" s="17"/>
      <c r="G47" s="17"/>
      <c r="H47" s="17"/>
      <c r="I47" s="17"/>
      <c r="J47" s="17"/>
      <c r="K47" s="17"/>
      <c r="L47" s="17"/>
      <c r="M47" s="17"/>
      <c r="N47" s="17"/>
      <c r="O47" s="17"/>
      <c r="P47" s="17"/>
      <c r="Q47" s="17"/>
      <c r="R47" s="17"/>
      <c r="S47" s="17"/>
    </row>
    <row r="48" spans="1:19">
      <c r="A48" s="17"/>
      <c r="B48" s="17"/>
      <c r="C48" s="17"/>
      <c r="D48" s="17">
        <v>40</v>
      </c>
      <c r="E48" s="18">
        <f>D48*D27</f>
        <v>575.20000000000005</v>
      </c>
      <c r="F48" s="17"/>
      <c r="G48" s="17"/>
      <c r="H48" s="17"/>
      <c r="I48" s="17"/>
      <c r="J48" s="17"/>
      <c r="K48" s="17"/>
      <c r="L48" s="17"/>
      <c r="M48" s="17"/>
      <c r="N48" s="17"/>
      <c r="O48" s="17"/>
      <c r="P48" s="17"/>
      <c r="Q48" s="17"/>
      <c r="R48" s="17"/>
      <c r="S48" s="17"/>
    </row>
    <row r="49" spans="1:19">
      <c r="A49" s="17"/>
      <c r="B49" s="17"/>
      <c r="C49" s="17"/>
      <c r="D49" s="17">
        <v>24</v>
      </c>
      <c r="E49" s="18">
        <f>D49*D28</f>
        <v>289.44</v>
      </c>
      <c r="F49" s="17"/>
      <c r="G49" s="17"/>
      <c r="H49" s="17"/>
      <c r="I49" s="17"/>
      <c r="J49" s="17"/>
      <c r="K49" s="17"/>
      <c r="L49" s="17"/>
      <c r="M49" s="17"/>
      <c r="N49" s="17"/>
      <c r="O49" s="17"/>
      <c r="P49" s="17"/>
      <c r="Q49" s="17"/>
      <c r="R49" s="17"/>
      <c r="S49" s="17"/>
    </row>
    <row r="50" spans="1:19">
      <c r="A50" s="17"/>
      <c r="B50" s="17"/>
      <c r="C50" s="17"/>
      <c r="D50" s="17">
        <f>SUM(D45:D49)</f>
        <v>100</v>
      </c>
      <c r="E50" s="25">
        <f>SUM(E45:E49)</f>
        <v>1474.2400000000002</v>
      </c>
      <c r="F50" s="17"/>
      <c r="G50" s="17"/>
      <c r="H50" s="17"/>
      <c r="I50" s="17"/>
      <c r="J50" s="17"/>
      <c r="K50" s="17"/>
      <c r="L50" s="17"/>
      <c r="M50" s="17"/>
      <c r="N50" s="17"/>
      <c r="O50" s="17"/>
      <c r="P50" s="17"/>
      <c r="Q50" s="17"/>
      <c r="R50" s="17"/>
      <c r="S50" s="17"/>
    </row>
    <row r="51" spans="1:19">
      <c r="A51" s="17"/>
      <c r="B51" s="17"/>
      <c r="C51" s="17"/>
      <c r="D51" s="17"/>
      <c r="E51" s="17"/>
      <c r="F51" s="17"/>
      <c r="G51" s="17"/>
      <c r="H51" s="17"/>
      <c r="I51" s="17"/>
      <c r="J51" s="17"/>
      <c r="K51" s="17"/>
      <c r="L51" s="17"/>
      <c r="M51" s="17"/>
      <c r="N51" s="17"/>
      <c r="O51" s="17"/>
      <c r="P51" s="17"/>
      <c r="Q51" s="17"/>
      <c r="R51" s="17"/>
      <c r="S51" s="17"/>
    </row>
    <row r="52" spans="1:19">
      <c r="A52" s="17"/>
      <c r="B52" s="17"/>
      <c r="C52" s="17"/>
      <c r="D52" s="22" t="s">
        <v>29</v>
      </c>
      <c r="E52" s="17"/>
      <c r="F52" s="17"/>
      <c r="G52" s="17"/>
      <c r="H52" s="17"/>
      <c r="I52" s="17"/>
      <c r="J52" s="17"/>
      <c r="K52" s="17"/>
      <c r="L52" s="17"/>
      <c r="M52" s="17"/>
      <c r="N52" s="17"/>
      <c r="O52" s="17"/>
      <c r="P52" s="17"/>
      <c r="Q52" s="17"/>
      <c r="R52" s="17"/>
      <c r="S52" s="17"/>
    </row>
    <row r="53" spans="1:19">
      <c r="A53" s="17"/>
      <c r="B53" s="17"/>
      <c r="C53" s="17"/>
      <c r="D53" s="17">
        <v>0</v>
      </c>
      <c r="E53" s="18">
        <f>D53*D24</f>
        <v>0</v>
      </c>
      <c r="F53" s="17"/>
      <c r="G53" s="17"/>
      <c r="H53" s="17"/>
      <c r="I53" s="17"/>
      <c r="J53" s="17"/>
      <c r="K53" s="17"/>
      <c r="L53" s="17"/>
      <c r="M53" s="17"/>
      <c r="N53" s="17"/>
      <c r="O53" s="17"/>
      <c r="P53" s="17"/>
      <c r="Q53" s="17"/>
      <c r="R53" s="17"/>
      <c r="S53" s="17"/>
    </row>
    <row r="54" spans="1:19">
      <c r="A54" s="17"/>
      <c r="B54" s="17"/>
      <c r="C54" s="17"/>
      <c r="D54" s="17">
        <v>0</v>
      </c>
      <c r="E54" s="18">
        <f>D54*D25</f>
        <v>0</v>
      </c>
      <c r="F54" s="17"/>
      <c r="G54" s="17"/>
      <c r="H54" s="17"/>
      <c r="I54" s="17"/>
      <c r="J54" s="17"/>
      <c r="K54" s="17"/>
      <c r="L54" s="17"/>
      <c r="M54" s="17"/>
      <c r="N54" s="17"/>
      <c r="O54" s="17"/>
      <c r="P54" s="17"/>
      <c r="Q54" s="17"/>
      <c r="R54" s="17"/>
      <c r="S54" s="17"/>
    </row>
    <row r="55" spans="1:19">
      <c r="A55" s="17"/>
      <c r="B55" s="17"/>
      <c r="C55" s="17"/>
      <c r="D55" s="17">
        <v>0</v>
      </c>
      <c r="E55" s="18">
        <f>D55*D26</f>
        <v>0</v>
      </c>
      <c r="F55" s="17"/>
      <c r="G55" s="17"/>
      <c r="H55" s="17"/>
      <c r="I55" s="17"/>
      <c r="J55" s="17"/>
      <c r="K55" s="17"/>
      <c r="L55" s="17"/>
      <c r="M55" s="17"/>
      <c r="N55" s="17"/>
      <c r="O55" s="17"/>
      <c r="P55" s="17"/>
      <c r="Q55" s="17"/>
      <c r="R55" s="17"/>
      <c r="S55" s="17"/>
    </row>
    <row r="56" spans="1:19">
      <c r="A56" s="17"/>
      <c r="B56" s="17"/>
      <c r="C56" s="17"/>
      <c r="D56" s="17">
        <v>0</v>
      </c>
      <c r="E56" s="18">
        <f>D56*D27</f>
        <v>0</v>
      </c>
      <c r="F56" s="17"/>
      <c r="G56" s="17"/>
      <c r="H56" s="17"/>
      <c r="I56" s="17"/>
      <c r="J56" s="17"/>
      <c r="K56" s="17"/>
      <c r="L56" s="17"/>
      <c r="M56" s="17"/>
      <c r="N56" s="17"/>
      <c r="O56" s="17"/>
      <c r="P56" s="17"/>
      <c r="Q56" s="17"/>
      <c r="R56" s="17"/>
      <c r="S56" s="17"/>
    </row>
    <row r="57" spans="1:19">
      <c r="A57" s="17"/>
      <c r="B57" s="17"/>
      <c r="C57" s="17"/>
      <c r="D57" s="17"/>
      <c r="E57" s="18">
        <f>D57*D28</f>
        <v>0</v>
      </c>
      <c r="F57" s="17"/>
      <c r="G57" s="17"/>
      <c r="H57" s="17"/>
      <c r="I57" s="17"/>
      <c r="J57" s="17"/>
      <c r="K57" s="17"/>
      <c r="L57" s="17"/>
      <c r="M57" s="17"/>
      <c r="N57" s="17"/>
      <c r="O57" s="17"/>
      <c r="P57" s="17"/>
      <c r="Q57" s="17"/>
      <c r="R57" s="17"/>
      <c r="S57" s="17"/>
    </row>
    <row r="58" spans="1:19">
      <c r="A58" s="17"/>
      <c r="B58" s="17"/>
      <c r="C58" s="17"/>
      <c r="D58" s="17">
        <f>SUM(D53:D57)</f>
        <v>0</v>
      </c>
      <c r="E58" s="25">
        <f>SUM(E53:E57)</f>
        <v>0</v>
      </c>
      <c r="F58" s="17"/>
      <c r="G58" s="17"/>
      <c r="H58" s="17"/>
      <c r="I58" s="17"/>
      <c r="J58" s="17"/>
      <c r="K58" s="17"/>
      <c r="L58" s="17"/>
      <c r="M58" s="17"/>
      <c r="N58" s="17"/>
      <c r="O58" s="17"/>
      <c r="P58" s="17"/>
      <c r="Q58" s="17"/>
      <c r="R58" s="17"/>
      <c r="S58" s="17"/>
    </row>
  </sheetData>
  <mergeCells count="5">
    <mergeCell ref="B30:C30"/>
    <mergeCell ref="D30:E30"/>
    <mergeCell ref="G30:H30"/>
    <mergeCell ref="J30:K30"/>
    <mergeCell ref="D37:E37"/>
  </mergeCells>
  <pageMargins left="0.46" right="0.19" top="1" bottom="1" header="0.5" footer="0.5"/>
  <pageSetup paperSize="9" scale="78" orientation="landscape" r:id="rId1"/>
  <headerFooter alignWithMargins="0"/>
</worksheet>
</file>

<file path=xl/worksheets/sheet2.xml><?xml version="1.0" encoding="utf-8"?>
<worksheet xmlns="http://schemas.openxmlformats.org/spreadsheetml/2006/main" xmlns:r="http://schemas.openxmlformats.org/officeDocument/2006/relationships">
  <sheetPr syncVertical="1" syncRef="F1230" transitionEvaluation="1"/>
  <dimension ref="A1:IU4079"/>
  <sheetViews>
    <sheetView topLeftCell="F1230" zoomScale="55" zoomScaleNormal="55" zoomScaleSheetLayoutView="55" workbookViewId="0">
      <selection activeCell="P1251" sqref="P1:P1048576"/>
    </sheetView>
  </sheetViews>
  <sheetFormatPr defaultColWidth="9.5703125" defaultRowHeight="24" customHeight="1"/>
  <cols>
    <col min="1" max="1" width="10.5703125" style="28" customWidth="1"/>
    <col min="2" max="2" width="80.42578125" style="28" customWidth="1"/>
    <col min="3" max="6" width="10.5703125" style="28" customWidth="1"/>
    <col min="7" max="7" width="10.5703125" style="29" customWidth="1"/>
    <col min="8" max="8" width="73.85546875" style="28" customWidth="1"/>
    <col min="9" max="9" width="15.42578125" style="28" customWidth="1"/>
    <col min="10" max="10" width="10.5703125" style="31" customWidth="1"/>
    <col min="11" max="11" width="14.42578125" style="28" customWidth="1"/>
    <col min="12" max="14" width="10.5703125" style="28" customWidth="1"/>
    <col min="15" max="15" width="39" style="28" customWidth="1"/>
    <col min="16" max="16" width="16.85546875" style="28" customWidth="1"/>
    <col min="17" max="17" width="10.5703125" style="28" customWidth="1"/>
    <col min="18" max="18" width="13.140625" style="28" customWidth="1"/>
    <col min="19" max="19" width="10.5703125" style="32" customWidth="1"/>
    <col min="20" max="20" width="10.5703125" style="28" customWidth="1"/>
    <col min="21" max="21" width="56.140625" style="28" customWidth="1"/>
    <col min="22" max="22" width="9.85546875" style="28" customWidth="1"/>
    <col min="23" max="23" width="18.140625" style="28" customWidth="1"/>
    <col min="24" max="24" width="13.140625" style="28" customWidth="1"/>
    <col min="25" max="25" width="10.5703125" style="28" customWidth="1"/>
    <col min="26" max="26" width="12.7109375" style="28" customWidth="1"/>
    <col min="27" max="29" width="10.5703125" style="28" customWidth="1"/>
    <col min="30" max="30" width="9" style="28" customWidth="1"/>
    <col min="31" max="31" width="17.42578125" style="28" customWidth="1"/>
    <col min="32" max="32" width="32.7109375" style="28" customWidth="1"/>
    <col min="33" max="33" width="14" style="28" customWidth="1"/>
    <col min="34" max="39" width="10.5703125" style="28" customWidth="1"/>
    <col min="40" max="40" width="13.140625" style="28" customWidth="1"/>
    <col min="41" max="43" width="10.5703125" style="28" customWidth="1"/>
    <col min="44" max="44" width="38.140625" style="28" customWidth="1"/>
    <col min="45" max="256" width="10.5703125" style="28" customWidth="1"/>
    <col min="257" max="16384" width="9.5703125" style="28"/>
  </cols>
  <sheetData>
    <row r="1" spans="1:40" ht="24" customHeight="1">
      <c r="A1" s="26"/>
      <c r="B1" s="27" t="s">
        <v>38</v>
      </c>
      <c r="E1" s="26" t="s">
        <v>27</v>
      </c>
      <c r="H1" s="30" t="s">
        <v>39</v>
      </c>
      <c r="O1" s="26" t="s">
        <v>39</v>
      </c>
      <c r="T1" s="33"/>
      <c r="U1" s="34" t="s">
        <v>40</v>
      </c>
      <c r="V1" s="34"/>
      <c r="W1" s="27" t="s">
        <v>27</v>
      </c>
      <c r="X1" s="33"/>
      <c r="Y1" s="33"/>
      <c r="Z1" s="33"/>
      <c r="AA1" s="33"/>
      <c r="AB1" s="33"/>
      <c r="AC1" s="33"/>
      <c r="AD1" s="33"/>
      <c r="AE1" s="33"/>
      <c r="AF1" s="33"/>
      <c r="AG1" s="33"/>
    </row>
    <row r="2" spans="1:40" ht="24" customHeight="1">
      <c r="B2" s="35" t="s">
        <v>41</v>
      </c>
      <c r="E2" s="26" t="s">
        <v>27</v>
      </c>
      <c r="H2" s="27" t="s">
        <v>42</v>
      </c>
      <c r="O2" s="27" t="s">
        <v>42</v>
      </c>
      <c r="S2" s="32">
        <f>(581+645+954)/3</f>
        <v>726.66666666666663</v>
      </c>
      <c r="U2" s="728" t="s">
        <v>43</v>
      </c>
      <c r="V2" s="729"/>
      <c r="W2" s="729"/>
      <c r="X2" s="729"/>
      <c r="Y2" s="27"/>
    </row>
    <row r="3" spans="1:40" ht="24" customHeight="1">
      <c r="A3" s="26" t="s">
        <v>44</v>
      </c>
      <c r="B3" s="36" t="s">
        <v>45</v>
      </c>
      <c r="C3" s="26" t="s">
        <v>46</v>
      </c>
      <c r="E3" s="26" t="s">
        <v>27</v>
      </c>
      <c r="F3" s="37" t="s">
        <v>44</v>
      </c>
      <c r="G3" s="38" t="s">
        <v>27</v>
      </c>
      <c r="H3" s="39" t="str">
        <f>U3</f>
        <v>Gudalur</v>
      </c>
      <c r="J3" s="30" t="str">
        <f>C3</f>
        <v>2020-2021</v>
      </c>
      <c r="M3" s="26" t="s">
        <v>44</v>
      </c>
      <c r="N3" s="26" t="s">
        <v>27</v>
      </c>
      <c r="O3" s="40" t="str">
        <f>B3</f>
        <v>OOTY</v>
      </c>
      <c r="Q3" s="40" t="str">
        <f>C3</f>
        <v>2020-2021</v>
      </c>
      <c r="T3" s="30" t="s">
        <v>44</v>
      </c>
      <c r="U3" s="39" t="s">
        <v>47</v>
      </c>
      <c r="V3" s="41" t="str">
        <f>Q3</f>
        <v>2020-2021</v>
      </c>
      <c r="W3" s="39" t="str">
        <f>C3</f>
        <v>2020-2021</v>
      </c>
      <c r="X3" s="41"/>
      <c r="Y3" s="41"/>
      <c r="Z3" s="41"/>
      <c r="AA3" s="41"/>
      <c r="AB3" s="41"/>
      <c r="AC3" s="30"/>
      <c r="AD3" s="41"/>
      <c r="AE3" s="41"/>
      <c r="AF3" s="41"/>
      <c r="AG3" s="41"/>
    </row>
    <row r="4" spans="1:40" ht="24" hidden="1" customHeight="1">
      <c r="F4" s="35" t="s">
        <v>48</v>
      </c>
      <c r="G4" s="35" t="s">
        <v>48</v>
      </c>
      <c r="H4" s="35" t="s">
        <v>48</v>
      </c>
      <c r="I4" s="35" t="s">
        <v>48</v>
      </c>
      <c r="J4" s="35" t="s">
        <v>48</v>
      </c>
      <c r="K4" s="35" t="s">
        <v>48</v>
      </c>
      <c r="M4" s="35" t="s">
        <v>48</v>
      </c>
      <c r="N4" s="35" t="s">
        <v>48</v>
      </c>
      <c r="O4" s="35" t="s">
        <v>48</v>
      </c>
      <c r="P4" s="35" t="s">
        <v>48</v>
      </c>
      <c r="Q4" s="35" t="s">
        <v>48</v>
      </c>
      <c r="R4" s="35" t="s">
        <v>48</v>
      </c>
      <c r="T4" s="41"/>
      <c r="U4" s="30" t="s">
        <v>27</v>
      </c>
      <c r="V4" s="41"/>
      <c r="W4" s="30" t="s">
        <v>27</v>
      </c>
      <c r="X4" s="30" t="s">
        <v>49</v>
      </c>
      <c r="Y4" s="30"/>
      <c r="Z4" s="30"/>
      <c r="AA4" s="41"/>
      <c r="AB4" s="41"/>
      <c r="AC4" s="41"/>
      <c r="AD4" s="41"/>
      <c r="AE4" s="30" t="s">
        <v>27</v>
      </c>
      <c r="AF4" s="41"/>
      <c r="AG4" s="41"/>
      <c r="AI4" s="26" t="s">
        <v>50</v>
      </c>
    </row>
    <row r="5" spans="1:40" ht="24" hidden="1" customHeight="1">
      <c r="A5" s="35" t="s">
        <v>48</v>
      </c>
      <c r="B5" s="35" t="s">
        <v>48</v>
      </c>
      <c r="C5" s="35" t="s">
        <v>48</v>
      </c>
      <c r="D5" s="35" t="s">
        <v>48</v>
      </c>
      <c r="E5" s="26" t="s">
        <v>27</v>
      </c>
      <c r="F5" s="37" t="s">
        <v>51</v>
      </c>
      <c r="G5" s="38" t="s">
        <v>27</v>
      </c>
      <c r="H5" s="42" t="s">
        <v>52</v>
      </c>
      <c r="I5" s="42" t="s">
        <v>53</v>
      </c>
      <c r="J5" s="42" t="s">
        <v>54</v>
      </c>
      <c r="K5" s="42" t="s">
        <v>55</v>
      </c>
      <c r="M5" s="27" t="s">
        <v>51</v>
      </c>
      <c r="N5" s="26" t="s">
        <v>27</v>
      </c>
      <c r="O5" s="27" t="s">
        <v>52</v>
      </c>
      <c r="P5" s="27" t="s">
        <v>53</v>
      </c>
      <c r="Q5" s="27" t="s">
        <v>54</v>
      </c>
      <c r="R5" s="27" t="s">
        <v>55</v>
      </c>
      <c r="T5" s="43"/>
      <c r="U5" s="43" t="s">
        <v>48</v>
      </c>
      <c r="V5" s="43" t="s">
        <v>48</v>
      </c>
      <c r="W5" s="43" t="s">
        <v>48</v>
      </c>
      <c r="X5" s="43" t="s">
        <v>48</v>
      </c>
      <c r="Y5" s="43"/>
      <c r="Z5" s="43" t="s">
        <v>48</v>
      </c>
      <c r="AA5" s="43" t="s">
        <v>48</v>
      </c>
      <c r="AB5" s="43"/>
      <c r="AC5" s="43" t="s">
        <v>48</v>
      </c>
      <c r="AD5" s="43" t="s">
        <v>48</v>
      </c>
      <c r="AE5" s="43" t="s">
        <v>48</v>
      </c>
      <c r="AF5" s="43" t="s">
        <v>48</v>
      </c>
      <c r="AG5" s="43" t="s">
        <v>48</v>
      </c>
    </row>
    <row r="6" spans="1:40" ht="24" customHeight="1">
      <c r="A6" s="26" t="s">
        <v>56</v>
      </c>
      <c r="B6" s="26" t="s">
        <v>52</v>
      </c>
      <c r="C6" s="26" t="s">
        <v>53</v>
      </c>
      <c r="D6" s="26" t="s">
        <v>54</v>
      </c>
      <c r="F6" s="35" t="s">
        <v>48</v>
      </c>
      <c r="G6" s="35" t="s">
        <v>48</v>
      </c>
      <c r="H6" s="35" t="s">
        <v>48</v>
      </c>
      <c r="I6" s="35" t="s">
        <v>48</v>
      </c>
      <c r="J6" s="35" t="s">
        <v>48</v>
      </c>
      <c r="K6" s="35" t="s">
        <v>48</v>
      </c>
      <c r="M6" s="35" t="s">
        <v>48</v>
      </c>
      <c r="N6" s="35" t="s">
        <v>48</v>
      </c>
      <c r="O6" s="35" t="s">
        <v>48</v>
      </c>
      <c r="P6" s="35" t="s">
        <v>48</v>
      </c>
      <c r="Q6" s="35" t="s">
        <v>48</v>
      </c>
      <c r="R6" s="35" t="s">
        <v>48</v>
      </c>
      <c r="T6" s="42" t="s">
        <v>56</v>
      </c>
      <c r="U6" s="42" t="s">
        <v>57</v>
      </c>
      <c r="V6" s="42" t="s">
        <v>58</v>
      </c>
      <c r="W6" s="42" t="s">
        <v>59</v>
      </c>
      <c r="X6" s="730" t="s">
        <v>60</v>
      </c>
      <c r="Y6" s="730"/>
      <c r="Z6" s="42" t="s">
        <v>61</v>
      </c>
      <c r="AA6" s="730" t="s">
        <v>62</v>
      </c>
      <c r="AB6" s="730"/>
      <c r="AC6" s="30" t="s">
        <v>63</v>
      </c>
      <c r="AD6" s="30" t="s">
        <v>64</v>
      </c>
      <c r="AE6" s="30" t="s">
        <v>65</v>
      </c>
      <c r="AF6" s="42" t="s">
        <v>66</v>
      </c>
      <c r="AG6" s="41"/>
    </row>
    <row r="7" spans="1:40" ht="24" customHeight="1">
      <c r="A7" s="35" t="s">
        <v>48</v>
      </c>
      <c r="B7" s="35" t="s">
        <v>48</v>
      </c>
      <c r="C7" s="35" t="s">
        <v>48</v>
      </c>
      <c r="D7" s="35" t="s">
        <v>48</v>
      </c>
      <c r="G7" s="38" t="s">
        <v>67</v>
      </c>
      <c r="H7" s="26" t="s">
        <v>68</v>
      </c>
      <c r="O7" s="26" t="s">
        <v>69</v>
      </c>
      <c r="T7" s="41"/>
      <c r="U7" s="41"/>
      <c r="V7" s="41"/>
      <c r="W7" s="41"/>
      <c r="X7" s="42" t="s">
        <v>70</v>
      </c>
      <c r="Y7" s="42" t="s">
        <v>71</v>
      </c>
      <c r="Z7" s="42" t="s">
        <v>65</v>
      </c>
      <c r="AA7" s="42" t="s">
        <v>70</v>
      </c>
      <c r="AB7" s="42" t="s">
        <v>71</v>
      </c>
      <c r="AC7" s="30" t="s">
        <v>72</v>
      </c>
      <c r="AD7" s="30" t="s">
        <v>73</v>
      </c>
      <c r="AE7" s="30" t="s">
        <v>74</v>
      </c>
      <c r="AF7" s="41"/>
      <c r="AG7" s="41"/>
    </row>
    <row r="8" spans="1:40" ht="24" customHeight="1">
      <c r="B8" s="26" t="s">
        <v>75</v>
      </c>
      <c r="H8" s="35" t="s">
        <v>48</v>
      </c>
      <c r="O8" s="35" t="s">
        <v>48</v>
      </c>
      <c r="T8" s="35" t="s">
        <v>48</v>
      </c>
      <c r="U8" s="35" t="s">
        <v>48</v>
      </c>
      <c r="V8" s="35" t="s">
        <v>48</v>
      </c>
      <c r="W8" s="35" t="s">
        <v>48</v>
      </c>
      <c r="X8" s="35" t="s">
        <v>48</v>
      </c>
      <c r="Y8" s="35"/>
      <c r="Z8" s="35" t="s">
        <v>48</v>
      </c>
      <c r="AA8" s="35" t="s">
        <v>48</v>
      </c>
      <c r="AB8" s="35"/>
      <c r="AC8" s="35" t="s">
        <v>76</v>
      </c>
      <c r="AD8" s="35" t="s">
        <v>48</v>
      </c>
      <c r="AE8" s="35" t="s">
        <v>48</v>
      </c>
      <c r="AF8" s="35" t="s">
        <v>48</v>
      </c>
      <c r="AG8" s="35" t="s">
        <v>48</v>
      </c>
      <c r="AI8" s="44" t="s">
        <v>77</v>
      </c>
      <c r="AJ8" s="44" t="s">
        <v>78</v>
      </c>
      <c r="AK8" s="45" t="s">
        <v>79</v>
      </c>
      <c r="AL8" s="45" t="s">
        <v>80</v>
      </c>
      <c r="AM8" s="45" t="s">
        <v>81</v>
      </c>
      <c r="AN8" s="45" t="s">
        <v>82</v>
      </c>
    </row>
    <row r="9" spans="1:40" ht="24" customHeight="1">
      <c r="B9" s="26" t="s">
        <v>83</v>
      </c>
      <c r="F9" s="40">
        <v>0.96</v>
      </c>
      <c r="G9" s="38" t="s">
        <v>84</v>
      </c>
      <c r="H9" s="26" t="s">
        <v>85</v>
      </c>
      <c r="I9" s="40">
        <f>(C67)</f>
        <v>5800</v>
      </c>
      <c r="J9" s="26" t="s">
        <v>84</v>
      </c>
      <c r="K9" s="40">
        <f>(F9*I9)</f>
        <v>5568</v>
      </c>
      <c r="M9" s="40">
        <v>0.5</v>
      </c>
      <c r="N9" s="26" t="s">
        <v>84</v>
      </c>
      <c r="O9" s="26" t="s">
        <v>86</v>
      </c>
      <c r="P9" s="40">
        <f>(C85)</f>
        <v>2039.8500000000001</v>
      </c>
      <c r="Q9" s="26" t="s">
        <v>84</v>
      </c>
      <c r="R9" s="40">
        <f>(M9*P9)</f>
        <v>1019.9250000000001</v>
      </c>
      <c r="T9" s="27" t="s">
        <v>87</v>
      </c>
      <c r="U9" s="26" t="s">
        <v>88</v>
      </c>
      <c r="V9" s="26" t="s">
        <v>89</v>
      </c>
      <c r="W9" s="46" t="s">
        <v>90</v>
      </c>
      <c r="X9" s="40">
        <f>'lead  charge'!D12</f>
        <v>10</v>
      </c>
      <c r="Y9" s="40">
        <f>'lead  charge'!D36</f>
        <v>100</v>
      </c>
      <c r="Z9" s="47">
        <v>437</v>
      </c>
      <c r="AA9" s="40">
        <f>'lead  charge'!E12</f>
        <v>104</v>
      </c>
      <c r="AB9" s="40">
        <f>'lead  charge'!E36</f>
        <v>1421.8</v>
      </c>
      <c r="AC9" s="27"/>
      <c r="AD9" s="26">
        <v>0</v>
      </c>
      <c r="AE9" s="26">
        <f>SUM(Z9:AD9)</f>
        <v>1962.8</v>
      </c>
      <c r="AF9" s="26" t="s">
        <v>91</v>
      </c>
      <c r="AG9" s="48">
        <f>AN9</f>
        <v>1076.5999999999999</v>
      </c>
      <c r="AH9" s="49">
        <v>769</v>
      </c>
      <c r="AI9" s="40">
        <f>AH9*1.1</f>
        <v>845.90000000000009</v>
      </c>
      <c r="AJ9" s="28">
        <f>AH9*1.2</f>
        <v>922.8</v>
      </c>
      <c r="AK9" s="28">
        <f>AH9*1.5</f>
        <v>1153.5</v>
      </c>
      <c r="AL9" s="28">
        <f>AH9*1.05</f>
        <v>807.45</v>
      </c>
      <c r="AM9" s="28">
        <f>AH9*1.25</f>
        <v>961.25</v>
      </c>
      <c r="AN9" s="28">
        <f>AH9*1.4</f>
        <v>1076.5999999999999</v>
      </c>
    </row>
    <row r="10" spans="1:40" ht="24" customHeight="1">
      <c r="A10" s="50">
        <v>1</v>
      </c>
      <c r="B10" s="51" t="s">
        <v>92</v>
      </c>
      <c r="C10" s="52">
        <f>AG9</f>
        <v>1076.5999999999999</v>
      </c>
      <c r="D10" s="51" t="e">
        <f>[1]Data!Fbi</f>
        <v>#NAME?</v>
      </c>
      <c r="F10" s="40">
        <v>1</v>
      </c>
      <c r="G10" s="38" t="s">
        <v>93</v>
      </c>
      <c r="H10" s="26" t="s">
        <v>94</v>
      </c>
      <c r="I10" s="40">
        <f>(C78)</f>
        <v>2765.84</v>
      </c>
      <c r="J10" s="26" t="s">
        <v>93</v>
      </c>
      <c r="K10" s="40">
        <f>(F10*I10)</f>
        <v>2765.84</v>
      </c>
      <c r="M10" s="40">
        <v>1</v>
      </c>
      <c r="N10" s="26" t="s">
        <v>93</v>
      </c>
      <c r="O10" s="26" t="s">
        <v>94</v>
      </c>
      <c r="P10" s="40">
        <f>(C78)</f>
        <v>2765.84</v>
      </c>
      <c r="Q10" s="26" t="s">
        <v>93</v>
      </c>
      <c r="R10" s="40">
        <f>(M10*P10)</f>
        <v>2765.84</v>
      </c>
      <c r="T10" s="27" t="s">
        <v>95</v>
      </c>
      <c r="U10" s="26" t="s">
        <v>96</v>
      </c>
      <c r="V10" s="26" t="s">
        <v>89</v>
      </c>
      <c r="W10" s="46" t="str">
        <f t="shared" ref="W10:W15" si="0">+W9</f>
        <v>Kurunthamalai</v>
      </c>
      <c r="X10" s="40">
        <f>'lead  charge'!D12</f>
        <v>10</v>
      </c>
      <c r="Y10" s="40">
        <f>Y9</f>
        <v>100</v>
      </c>
      <c r="Z10" s="47">
        <v>630</v>
      </c>
      <c r="AA10" s="40">
        <f>AA9</f>
        <v>104</v>
      </c>
      <c r="AB10" s="40">
        <f>AB9</f>
        <v>1421.8</v>
      </c>
      <c r="AC10" s="27"/>
      <c r="AD10" s="31">
        <v>0</v>
      </c>
      <c r="AE10" s="26">
        <f t="shared" ref="AE10:AE47" si="1">SUM(Z10:AD10)</f>
        <v>2155.8000000000002</v>
      </c>
      <c r="AF10" s="26" t="s">
        <v>97</v>
      </c>
      <c r="AG10" s="48">
        <f t="shared" ref="AG10:AG46" si="2">AN10</f>
        <v>1005.1999999999999</v>
      </c>
      <c r="AH10" s="49">
        <v>718</v>
      </c>
      <c r="AI10" s="40">
        <f t="shared" ref="AI10:AI47" si="3">AH10*1.1</f>
        <v>789.80000000000007</v>
      </c>
      <c r="AJ10" s="28">
        <f t="shared" ref="AJ10:AJ47" si="4">AH10*1.2</f>
        <v>861.6</v>
      </c>
      <c r="AK10" s="28">
        <f t="shared" ref="AK10:AK47" si="5">AH10*1.5</f>
        <v>1077</v>
      </c>
      <c r="AL10" s="28">
        <f t="shared" ref="AL10:AL44" si="6">AH10*1.05</f>
        <v>753.9</v>
      </c>
      <c r="AM10" s="28">
        <f t="shared" ref="AM10:AM47" si="7">AH10*1.25</f>
        <v>897.5</v>
      </c>
      <c r="AN10" s="28">
        <f t="shared" ref="AN10:AN47" si="8">AH10*1.4</f>
        <v>1005.1999999999999</v>
      </c>
    </row>
    <row r="11" spans="1:40" ht="24" customHeight="1">
      <c r="A11" s="50">
        <f t="shared" ref="A11:A35" si="9">(A10+1)</f>
        <v>2</v>
      </c>
      <c r="B11" s="51" t="s">
        <v>98</v>
      </c>
      <c r="C11" s="52">
        <f>AG10</f>
        <v>1005.1999999999999</v>
      </c>
      <c r="D11" s="51">
        <f>AG9</f>
        <v>1076.5999999999999</v>
      </c>
      <c r="F11" s="40">
        <v>1</v>
      </c>
      <c r="G11" s="38" t="s">
        <v>93</v>
      </c>
      <c r="H11" s="26" t="s">
        <v>99</v>
      </c>
      <c r="I11" s="40">
        <f>(C18)</f>
        <v>121.8</v>
      </c>
      <c r="J11" s="26" t="s">
        <v>93</v>
      </c>
      <c r="K11" s="40">
        <f>(F11*I11)</f>
        <v>121.8</v>
      </c>
      <c r="M11" s="40">
        <v>1</v>
      </c>
      <c r="N11" s="26" t="s">
        <v>93</v>
      </c>
      <c r="O11" s="26" t="s">
        <v>100</v>
      </c>
      <c r="P11" s="40">
        <f>(C64)</f>
        <v>211</v>
      </c>
      <c r="Q11" s="26" t="s">
        <v>93</v>
      </c>
      <c r="R11" s="40">
        <f>(M11*P11)</f>
        <v>211</v>
      </c>
      <c r="T11" s="27" t="s">
        <v>101</v>
      </c>
      <c r="U11" s="26" t="s">
        <v>102</v>
      </c>
      <c r="V11" s="26" t="s">
        <v>89</v>
      </c>
      <c r="W11" s="46" t="str">
        <f t="shared" si="0"/>
        <v>Kurunthamalai</v>
      </c>
      <c r="X11" s="40">
        <f>'lead  charge'!D10:D10</f>
        <v>10</v>
      </c>
      <c r="Y11" s="40">
        <f>Y9</f>
        <v>100</v>
      </c>
      <c r="Z11" s="47">
        <v>726.67</v>
      </c>
      <c r="AA11" s="40">
        <f>'lead  charge'!E10</f>
        <v>104</v>
      </c>
      <c r="AB11" s="40">
        <f>AB9</f>
        <v>1421.8</v>
      </c>
      <c r="AC11" s="27"/>
      <c r="AD11" s="31">
        <v>0</v>
      </c>
      <c r="AE11" s="26">
        <f t="shared" si="1"/>
        <v>2252.4699999999998</v>
      </c>
      <c r="AF11" s="26" t="s">
        <v>103</v>
      </c>
      <c r="AG11" s="48">
        <f t="shared" si="2"/>
        <v>702.8</v>
      </c>
      <c r="AH11" s="49">
        <v>502</v>
      </c>
      <c r="AI11" s="40">
        <f t="shared" si="3"/>
        <v>552.20000000000005</v>
      </c>
      <c r="AJ11" s="28">
        <f t="shared" si="4"/>
        <v>602.4</v>
      </c>
      <c r="AK11" s="28">
        <f t="shared" si="5"/>
        <v>753</v>
      </c>
      <c r="AL11" s="28">
        <f t="shared" si="6"/>
        <v>527.1</v>
      </c>
      <c r="AM11" s="28">
        <f t="shared" si="7"/>
        <v>627.5</v>
      </c>
      <c r="AN11" s="28">
        <f t="shared" si="8"/>
        <v>702.8</v>
      </c>
    </row>
    <row r="12" spans="1:40" ht="24" customHeight="1">
      <c r="A12" s="50">
        <f t="shared" si="9"/>
        <v>3</v>
      </c>
      <c r="B12" s="51" t="s">
        <v>104</v>
      </c>
      <c r="C12" s="52">
        <f>AG11</f>
        <v>702.8</v>
      </c>
      <c r="D12" s="51" t="s">
        <v>105</v>
      </c>
      <c r="G12" s="38" t="s">
        <v>106</v>
      </c>
      <c r="H12" s="26" t="s">
        <v>107</v>
      </c>
      <c r="I12" s="26" t="s">
        <v>27</v>
      </c>
      <c r="J12" s="26" t="s">
        <v>106</v>
      </c>
      <c r="K12" s="40">
        <v>0</v>
      </c>
      <c r="N12" s="26" t="s">
        <v>106</v>
      </c>
      <c r="O12" s="26" t="s">
        <v>107</v>
      </c>
      <c r="P12" s="26" t="s">
        <v>27</v>
      </c>
      <c r="Q12" s="26" t="s">
        <v>106</v>
      </c>
      <c r="R12" s="40">
        <v>0</v>
      </c>
      <c r="T12" s="27" t="s">
        <v>108</v>
      </c>
      <c r="U12" s="26" t="s">
        <v>109</v>
      </c>
      <c r="V12" s="26" t="s">
        <v>89</v>
      </c>
      <c r="W12" s="46" t="str">
        <f t="shared" si="0"/>
        <v>Kurunthamalai</v>
      </c>
      <c r="X12" s="40">
        <f>X11</f>
        <v>10</v>
      </c>
      <c r="Y12" s="40">
        <f>Y9</f>
        <v>100</v>
      </c>
      <c r="Z12" s="47">
        <v>954</v>
      </c>
      <c r="AA12" s="40">
        <f>AA11</f>
        <v>104</v>
      </c>
      <c r="AB12" s="40">
        <f>AB9</f>
        <v>1421.8</v>
      </c>
      <c r="AC12" s="27"/>
      <c r="AD12" s="31">
        <v>0</v>
      </c>
      <c r="AE12" s="26">
        <f t="shared" si="1"/>
        <v>2479.8000000000002</v>
      </c>
      <c r="AF12" s="26" t="s">
        <v>110</v>
      </c>
      <c r="AG12" s="48">
        <f t="shared" si="2"/>
        <v>576.79999999999995</v>
      </c>
      <c r="AH12" s="49">
        <v>412</v>
      </c>
      <c r="AI12" s="40">
        <f t="shared" si="3"/>
        <v>453.20000000000005</v>
      </c>
      <c r="AJ12" s="28">
        <f t="shared" si="4"/>
        <v>494.4</v>
      </c>
      <c r="AK12" s="28">
        <f t="shared" si="5"/>
        <v>618</v>
      </c>
      <c r="AL12" s="28">
        <f t="shared" si="6"/>
        <v>432.6</v>
      </c>
      <c r="AM12" s="28">
        <f t="shared" si="7"/>
        <v>515</v>
      </c>
      <c r="AN12" s="28">
        <f t="shared" si="8"/>
        <v>576.79999999999995</v>
      </c>
    </row>
    <row r="13" spans="1:40" ht="24" customHeight="1">
      <c r="A13" s="50">
        <f t="shared" si="9"/>
        <v>4</v>
      </c>
      <c r="B13" s="51" t="s">
        <v>111</v>
      </c>
      <c r="C13" s="52">
        <f>AG12</f>
        <v>576.79999999999995</v>
      </c>
      <c r="D13" s="51" t="s">
        <v>105</v>
      </c>
      <c r="K13" s="35" t="s">
        <v>48</v>
      </c>
      <c r="R13" s="35" t="s">
        <v>48</v>
      </c>
      <c r="T13" s="27" t="s">
        <v>112</v>
      </c>
      <c r="U13" s="26" t="s">
        <v>113</v>
      </c>
      <c r="V13" s="26" t="s">
        <v>89</v>
      </c>
      <c r="W13" s="46" t="str">
        <f t="shared" si="0"/>
        <v>Kurunthamalai</v>
      </c>
      <c r="X13" s="40">
        <f>X11</f>
        <v>10</v>
      </c>
      <c r="Y13" s="40">
        <f>Y9</f>
        <v>100</v>
      </c>
      <c r="Z13" s="47">
        <v>1297</v>
      </c>
      <c r="AA13" s="40">
        <f>AA12</f>
        <v>104</v>
      </c>
      <c r="AB13" s="40">
        <f>AB9</f>
        <v>1421.8</v>
      </c>
      <c r="AC13" s="27"/>
      <c r="AD13" s="31">
        <v>0</v>
      </c>
      <c r="AE13" s="26">
        <f t="shared" si="1"/>
        <v>2822.8</v>
      </c>
      <c r="AF13" s="26" t="s">
        <v>114</v>
      </c>
      <c r="AG13" s="48">
        <f t="shared" si="2"/>
        <v>861</v>
      </c>
      <c r="AH13" s="49">
        <v>615</v>
      </c>
      <c r="AI13" s="40">
        <f t="shared" si="3"/>
        <v>676.5</v>
      </c>
      <c r="AJ13" s="28">
        <f t="shared" si="4"/>
        <v>738</v>
      </c>
      <c r="AK13" s="28">
        <f t="shared" si="5"/>
        <v>922.5</v>
      </c>
      <c r="AL13" s="28">
        <f t="shared" si="6"/>
        <v>645.75</v>
      </c>
      <c r="AM13" s="28">
        <f t="shared" si="7"/>
        <v>768.75</v>
      </c>
      <c r="AN13" s="28">
        <f t="shared" si="8"/>
        <v>861</v>
      </c>
    </row>
    <row r="14" spans="1:40" ht="24" customHeight="1">
      <c r="A14" s="50">
        <f t="shared" si="9"/>
        <v>5</v>
      </c>
      <c r="B14" s="51" t="s">
        <v>115</v>
      </c>
      <c r="C14" s="52">
        <f>AG13</f>
        <v>861</v>
      </c>
      <c r="D14" s="52">
        <f>AG14</f>
        <v>833</v>
      </c>
      <c r="H14" s="26" t="s">
        <v>116</v>
      </c>
      <c r="K14" s="39">
        <f>SUM(K9:K12)</f>
        <v>8455.64</v>
      </c>
      <c r="N14" s="40">
        <f>SUM(K9:K12)</f>
        <v>8455.64</v>
      </c>
      <c r="O14" s="26" t="s">
        <v>116</v>
      </c>
      <c r="R14" s="40">
        <f>SUM(R9:R12)</f>
        <v>3996.7650000000003</v>
      </c>
      <c r="T14" s="27" t="s">
        <v>117</v>
      </c>
      <c r="U14" s="26" t="s">
        <v>118</v>
      </c>
      <c r="V14" s="26" t="s">
        <v>89</v>
      </c>
      <c r="W14" s="46" t="str">
        <f t="shared" si="0"/>
        <v>Kurunthamalai</v>
      </c>
      <c r="X14" s="40">
        <f>X11</f>
        <v>10</v>
      </c>
      <c r="Y14" s="40">
        <f>Y9</f>
        <v>100</v>
      </c>
      <c r="Z14" s="47">
        <v>1398</v>
      </c>
      <c r="AA14" s="40">
        <f>AA13</f>
        <v>104</v>
      </c>
      <c r="AB14" s="40">
        <f>AB9</f>
        <v>1421.8</v>
      </c>
      <c r="AC14" s="27"/>
      <c r="AD14" s="31">
        <v>0</v>
      </c>
      <c r="AE14" s="26">
        <f t="shared" si="1"/>
        <v>2923.8</v>
      </c>
      <c r="AF14" s="26" t="s">
        <v>119</v>
      </c>
      <c r="AG14" s="48">
        <f t="shared" si="2"/>
        <v>833</v>
      </c>
      <c r="AH14" s="49">
        <v>595</v>
      </c>
      <c r="AI14" s="40">
        <f t="shared" si="3"/>
        <v>654.5</v>
      </c>
      <c r="AJ14" s="28">
        <f t="shared" si="4"/>
        <v>714</v>
      </c>
      <c r="AK14" s="28">
        <f t="shared" si="5"/>
        <v>892.5</v>
      </c>
      <c r="AL14" s="28">
        <f t="shared" si="6"/>
        <v>624.75</v>
      </c>
      <c r="AM14" s="28">
        <f t="shared" si="7"/>
        <v>743.75</v>
      </c>
      <c r="AN14" s="28">
        <f t="shared" si="8"/>
        <v>833</v>
      </c>
    </row>
    <row r="15" spans="1:40" ht="24" customHeight="1">
      <c r="A15" s="50">
        <f t="shared" si="9"/>
        <v>6</v>
      </c>
      <c r="B15" s="51" t="s">
        <v>120</v>
      </c>
      <c r="C15" s="52">
        <f>AG15</f>
        <v>933.8</v>
      </c>
      <c r="D15" s="51" t="s">
        <v>105</v>
      </c>
      <c r="K15" s="35" t="s">
        <v>48</v>
      </c>
      <c r="R15" s="35" t="s">
        <v>48</v>
      </c>
      <c r="T15" s="27" t="s">
        <v>121</v>
      </c>
      <c r="U15" s="26" t="s">
        <v>122</v>
      </c>
      <c r="V15" s="26" t="s">
        <v>89</v>
      </c>
      <c r="W15" s="46" t="str">
        <f t="shared" si="0"/>
        <v>Kurunthamalai</v>
      </c>
      <c r="X15" s="40">
        <f>X11</f>
        <v>10</v>
      </c>
      <c r="Y15" s="40">
        <f>Y9</f>
        <v>100</v>
      </c>
      <c r="Z15" s="47">
        <v>1004</v>
      </c>
      <c r="AA15" s="40">
        <f>AA14</f>
        <v>104</v>
      </c>
      <c r="AB15" s="40">
        <f>AB9</f>
        <v>1421.8</v>
      </c>
      <c r="AC15" s="27"/>
      <c r="AD15" s="31">
        <v>0</v>
      </c>
      <c r="AE15" s="26">
        <f t="shared" si="1"/>
        <v>2529.8000000000002</v>
      </c>
      <c r="AF15" s="26" t="s">
        <v>123</v>
      </c>
      <c r="AG15" s="48">
        <f t="shared" si="2"/>
        <v>933.8</v>
      </c>
      <c r="AH15" s="49">
        <v>667</v>
      </c>
      <c r="AI15" s="40">
        <f t="shared" si="3"/>
        <v>733.7</v>
      </c>
      <c r="AJ15" s="28">
        <f t="shared" si="4"/>
        <v>800.4</v>
      </c>
      <c r="AK15" s="28">
        <f t="shared" si="5"/>
        <v>1000.5</v>
      </c>
      <c r="AL15" s="28">
        <f t="shared" si="6"/>
        <v>700.35</v>
      </c>
      <c r="AM15" s="28">
        <f t="shared" si="7"/>
        <v>833.75</v>
      </c>
      <c r="AN15" s="28">
        <f t="shared" si="8"/>
        <v>933.8</v>
      </c>
    </row>
    <row r="16" spans="1:40" ht="47.25" customHeight="1">
      <c r="A16" s="50">
        <f t="shared" si="9"/>
        <v>7</v>
      </c>
      <c r="B16" s="51" t="s">
        <v>124</v>
      </c>
      <c r="C16" s="52">
        <f>AG19</f>
        <v>1052.8</v>
      </c>
      <c r="D16" s="52">
        <f>AG20</f>
        <v>1005.1999999999999</v>
      </c>
      <c r="G16" s="38" t="s">
        <v>67</v>
      </c>
      <c r="H16" s="26" t="s">
        <v>125</v>
      </c>
      <c r="N16" s="26" t="s">
        <v>67</v>
      </c>
      <c r="O16" s="26" t="s">
        <v>126</v>
      </c>
      <c r="T16" s="27" t="s">
        <v>127</v>
      </c>
      <c r="U16" s="26" t="s">
        <v>128</v>
      </c>
      <c r="V16" s="26" t="s">
        <v>89</v>
      </c>
      <c r="W16" s="53" t="s">
        <v>129</v>
      </c>
      <c r="X16" s="40">
        <f>'lead  charge'!D11</f>
        <v>4</v>
      </c>
      <c r="Y16" s="40">
        <f>'lead  charge'!D50</f>
        <v>100</v>
      </c>
      <c r="Z16" s="54">
        <v>1250</v>
      </c>
      <c r="AA16" s="40">
        <f>'lead  charge'!E11</f>
        <v>41.6</v>
      </c>
      <c r="AB16" s="40">
        <f>'lead  charge'!E50</f>
        <v>1474.2400000000002</v>
      </c>
      <c r="AC16" s="27"/>
      <c r="AD16" s="31">
        <v>0</v>
      </c>
      <c r="AE16" s="26">
        <f t="shared" si="1"/>
        <v>2765.84</v>
      </c>
      <c r="AF16" s="26" t="s">
        <v>130</v>
      </c>
      <c r="AG16" s="48">
        <f t="shared" si="2"/>
        <v>905.8</v>
      </c>
      <c r="AH16" s="49">
        <v>647</v>
      </c>
      <c r="AI16" s="40">
        <f t="shared" si="3"/>
        <v>711.7</v>
      </c>
      <c r="AJ16" s="28">
        <f t="shared" si="4"/>
        <v>776.4</v>
      </c>
      <c r="AK16" s="28">
        <f t="shared" si="5"/>
        <v>970.5</v>
      </c>
      <c r="AL16" s="28">
        <f t="shared" si="6"/>
        <v>679.35</v>
      </c>
      <c r="AM16" s="28">
        <f t="shared" si="7"/>
        <v>808.75</v>
      </c>
      <c r="AN16" s="28">
        <f t="shared" si="8"/>
        <v>905.8</v>
      </c>
    </row>
    <row r="17" spans="1:40" ht="39" customHeight="1">
      <c r="A17" s="50">
        <f t="shared" si="9"/>
        <v>8</v>
      </c>
      <c r="B17" s="51" t="s">
        <v>131</v>
      </c>
      <c r="C17" s="52">
        <f>AG17</f>
        <v>950.59999999999991</v>
      </c>
      <c r="D17" s="52">
        <f>AG18</f>
        <v>923.99999999999989</v>
      </c>
      <c r="H17" s="35" t="s">
        <v>48</v>
      </c>
      <c r="O17" s="26" t="s">
        <v>132</v>
      </c>
      <c r="T17" s="27" t="s">
        <v>133</v>
      </c>
      <c r="U17" s="26" t="s">
        <v>134</v>
      </c>
      <c r="V17" s="26" t="s">
        <v>89</v>
      </c>
      <c r="W17" s="55" t="str">
        <f>+W16</f>
        <v>Karamadai [Kannarpalayam]</v>
      </c>
      <c r="X17" s="40">
        <f>X16</f>
        <v>4</v>
      </c>
      <c r="Y17" s="40">
        <f>Y16</f>
        <v>100</v>
      </c>
      <c r="Z17" s="54">
        <f>Z16</f>
        <v>1250</v>
      </c>
      <c r="AA17" s="40">
        <f>AA16</f>
        <v>41.6</v>
      </c>
      <c r="AB17" s="40">
        <f>AB16</f>
        <v>1474.2400000000002</v>
      </c>
      <c r="AC17" s="27"/>
      <c r="AD17" s="31">
        <v>0</v>
      </c>
      <c r="AE17" s="26">
        <f t="shared" si="1"/>
        <v>2765.84</v>
      </c>
      <c r="AF17" s="26" t="s">
        <v>135</v>
      </c>
      <c r="AG17" s="48">
        <f t="shared" si="2"/>
        <v>950.59999999999991</v>
      </c>
      <c r="AH17" s="49">
        <v>679</v>
      </c>
      <c r="AI17" s="40">
        <f t="shared" si="3"/>
        <v>746.90000000000009</v>
      </c>
      <c r="AJ17" s="28">
        <f t="shared" si="4"/>
        <v>814.8</v>
      </c>
      <c r="AK17" s="28">
        <f t="shared" si="5"/>
        <v>1018.5</v>
      </c>
      <c r="AL17" s="28">
        <f t="shared" si="6"/>
        <v>712.95</v>
      </c>
      <c r="AM17" s="28">
        <f t="shared" si="7"/>
        <v>848.75</v>
      </c>
      <c r="AN17" s="28">
        <f t="shared" si="8"/>
        <v>950.59999999999991</v>
      </c>
    </row>
    <row r="18" spans="1:40" ht="24" customHeight="1">
      <c r="A18" s="50">
        <f t="shared" si="9"/>
        <v>9</v>
      </c>
      <c r="B18" s="51" t="s">
        <v>136</v>
      </c>
      <c r="C18" s="52">
        <f>AG24</f>
        <v>121.8</v>
      </c>
      <c r="D18" s="51" t="s">
        <v>137</v>
      </c>
      <c r="F18" s="40">
        <v>0.72</v>
      </c>
      <c r="G18" s="38" t="s">
        <v>84</v>
      </c>
      <c r="H18" s="26" t="s">
        <v>85</v>
      </c>
      <c r="I18" s="40">
        <f>(C67)</f>
        <v>5800</v>
      </c>
      <c r="J18" s="26" t="s">
        <v>84</v>
      </c>
      <c r="K18" s="40">
        <f>(F18*I18)</f>
        <v>4176</v>
      </c>
      <c r="O18" s="26" t="s">
        <v>138</v>
      </c>
      <c r="T18" s="27" t="s">
        <v>139</v>
      </c>
      <c r="U18" s="26" t="s">
        <v>140</v>
      </c>
      <c r="V18" s="26" t="s">
        <v>141</v>
      </c>
      <c r="W18" s="46" t="s">
        <v>142</v>
      </c>
      <c r="X18" s="40">
        <f>'lead  charge'!G10</f>
        <v>35</v>
      </c>
      <c r="Y18" s="40">
        <f>'lead  charge'!G36</f>
        <v>100</v>
      </c>
      <c r="Z18" s="47">
        <v>5438</v>
      </c>
      <c r="AA18" s="40">
        <f>'lead  charge'!H10</f>
        <v>259.64999999999998</v>
      </c>
      <c r="AB18" s="40">
        <f>'lead  charge'!H36</f>
        <v>1070</v>
      </c>
      <c r="AC18" s="27"/>
      <c r="AD18" s="31">
        <v>0</v>
      </c>
      <c r="AE18" s="26">
        <f t="shared" si="1"/>
        <v>6767.65</v>
      </c>
      <c r="AF18" s="26" t="s">
        <v>143</v>
      </c>
      <c r="AG18" s="48">
        <f t="shared" si="2"/>
        <v>923.99999999999989</v>
      </c>
      <c r="AH18" s="49">
        <v>660</v>
      </c>
      <c r="AI18" s="40">
        <f t="shared" si="3"/>
        <v>726.00000000000011</v>
      </c>
      <c r="AJ18" s="28">
        <f t="shared" si="4"/>
        <v>792</v>
      </c>
      <c r="AK18" s="28">
        <f t="shared" si="5"/>
        <v>990</v>
      </c>
      <c r="AL18" s="28">
        <f t="shared" si="6"/>
        <v>693</v>
      </c>
      <c r="AM18" s="28">
        <f t="shared" si="7"/>
        <v>825</v>
      </c>
      <c r="AN18" s="28">
        <f t="shared" si="8"/>
        <v>923.99999999999989</v>
      </c>
    </row>
    <row r="19" spans="1:40" ht="24" customHeight="1">
      <c r="A19" s="50">
        <f t="shared" si="9"/>
        <v>10</v>
      </c>
      <c r="B19" s="51" t="s">
        <v>144</v>
      </c>
      <c r="C19" s="47">
        <f t="shared" ref="C19:C24" si="10">AG41</f>
        <v>82.88</v>
      </c>
      <c r="D19" s="51" t="s">
        <v>93</v>
      </c>
      <c r="F19" s="40">
        <v>1</v>
      </c>
      <c r="G19" s="38" t="s">
        <v>93</v>
      </c>
      <c r="H19" s="26" t="s">
        <v>94</v>
      </c>
      <c r="I19" s="40">
        <f>I36</f>
        <v>2765.84</v>
      </c>
      <c r="J19" s="26" t="s">
        <v>93</v>
      </c>
      <c r="K19" s="40">
        <f>(F19*I19)</f>
        <v>2765.84</v>
      </c>
      <c r="O19" s="26" t="s">
        <v>145</v>
      </c>
      <c r="T19" s="27" t="s">
        <v>146</v>
      </c>
      <c r="U19" s="26" t="s">
        <v>147</v>
      </c>
      <c r="V19" s="26" t="s">
        <v>93</v>
      </c>
      <c r="W19" s="56" t="str">
        <f>W18</f>
        <v>Thadagam</v>
      </c>
      <c r="X19" s="40">
        <f>'lead  charge'!P10</f>
        <v>35</v>
      </c>
      <c r="Y19" s="40">
        <f>'lead  charge'!P36</f>
        <v>100</v>
      </c>
      <c r="Z19" s="47">
        <v>672</v>
      </c>
      <c r="AA19" s="57">
        <f>'lead  charge'!Q10</f>
        <v>211.64999999999998</v>
      </c>
      <c r="AB19" s="57">
        <f>'lead  charge'!Q36</f>
        <v>873.2</v>
      </c>
      <c r="AC19" s="27"/>
      <c r="AD19" s="31">
        <v>0</v>
      </c>
      <c r="AE19" s="26">
        <f t="shared" si="1"/>
        <v>1756.85</v>
      </c>
      <c r="AF19" s="26" t="s">
        <v>148</v>
      </c>
      <c r="AG19" s="48">
        <f t="shared" si="2"/>
        <v>1052.8</v>
      </c>
      <c r="AH19" s="49">
        <v>752</v>
      </c>
      <c r="AI19" s="40">
        <f t="shared" si="3"/>
        <v>827.2</v>
      </c>
      <c r="AJ19" s="28">
        <f t="shared" si="4"/>
        <v>902.4</v>
      </c>
      <c r="AK19" s="28">
        <f t="shared" si="5"/>
        <v>1128</v>
      </c>
      <c r="AL19" s="28">
        <f t="shared" si="6"/>
        <v>789.6</v>
      </c>
      <c r="AM19" s="28">
        <f t="shared" si="7"/>
        <v>940</v>
      </c>
      <c r="AN19" s="28">
        <f t="shared" si="8"/>
        <v>1052.8</v>
      </c>
    </row>
    <row r="20" spans="1:40" ht="24" customHeight="1">
      <c r="A20" s="50">
        <f t="shared" si="9"/>
        <v>11</v>
      </c>
      <c r="B20" s="51" t="s">
        <v>149</v>
      </c>
      <c r="C20" s="47">
        <f t="shared" si="10"/>
        <v>167.01999999999998</v>
      </c>
      <c r="D20" s="51" t="s">
        <v>93</v>
      </c>
      <c r="F20" s="40">
        <v>1</v>
      </c>
      <c r="G20" s="38" t="s">
        <v>93</v>
      </c>
      <c r="H20" s="26" t="s">
        <v>99</v>
      </c>
      <c r="I20" s="40">
        <f>(C18)</f>
        <v>121.8</v>
      </c>
      <c r="J20" s="26" t="s">
        <v>93</v>
      </c>
      <c r="K20" s="40">
        <f>(F20*I20)</f>
        <v>121.8</v>
      </c>
      <c r="O20" s="26" t="s">
        <v>150</v>
      </c>
      <c r="T20" s="27" t="s">
        <v>151</v>
      </c>
      <c r="U20" s="26" t="s">
        <v>152</v>
      </c>
      <c r="V20" s="26" t="s">
        <v>93</v>
      </c>
      <c r="W20" s="56" t="str">
        <f>W18</f>
        <v>Thadagam</v>
      </c>
      <c r="X20" s="40">
        <f>X19</f>
        <v>35</v>
      </c>
      <c r="Y20" s="40">
        <f>Y19</f>
        <v>100</v>
      </c>
      <c r="Z20" s="47">
        <v>749</v>
      </c>
      <c r="AA20" s="40">
        <f>AA19</f>
        <v>211.64999999999998</v>
      </c>
      <c r="AB20" s="40">
        <f>AB19</f>
        <v>873.2</v>
      </c>
      <c r="AC20" s="27"/>
      <c r="AD20" s="31">
        <v>0</v>
      </c>
      <c r="AE20" s="26">
        <f t="shared" si="1"/>
        <v>1833.85</v>
      </c>
      <c r="AF20" s="26" t="s">
        <v>153</v>
      </c>
      <c r="AG20" s="48">
        <f t="shared" si="2"/>
        <v>1005.1999999999999</v>
      </c>
      <c r="AH20" s="49">
        <v>718</v>
      </c>
      <c r="AI20" s="40">
        <f t="shared" si="3"/>
        <v>789.80000000000007</v>
      </c>
      <c r="AJ20" s="28">
        <f t="shared" si="4"/>
        <v>861.6</v>
      </c>
      <c r="AK20" s="28">
        <f t="shared" si="5"/>
        <v>1077</v>
      </c>
      <c r="AL20" s="28">
        <f t="shared" si="6"/>
        <v>753.9</v>
      </c>
      <c r="AM20" s="28">
        <f t="shared" si="7"/>
        <v>897.5</v>
      </c>
      <c r="AN20" s="28">
        <f t="shared" si="8"/>
        <v>1005.1999999999999</v>
      </c>
    </row>
    <row r="21" spans="1:40" ht="24" customHeight="1">
      <c r="A21" s="50">
        <f t="shared" si="9"/>
        <v>12</v>
      </c>
      <c r="B21" s="51" t="s">
        <v>154</v>
      </c>
      <c r="C21" s="47">
        <f t="shared" si="10"/>
        <v>167.01999999999998</v>
      </c>
      <c r="D21" s="51" t="s">
        <v>93</v>
      </c>
      <c r="G21" s="38" t="s">
        <v>106</v>
      </c>
      <c r="H21" s="26" t="s">
        <v>107</v>
      </c>
      <c r="I21" s="26" t="s">
        <v>27</v>
      </c>
      <c r="J21" s="26" t="s">
        <v>106</v>
      </c>
      <c r="K21" s="40">
        <v>0</v>
      </c>
      <c r="O21" s="35" t="s">
        <v>48</v>
      </c>
      <c r="T21" s="27" t="s">
        <v>155</v>
      </c>
      <c r="U21" s="26" t="s">
        <v>156</v>
      </c>
      <c r="V21" s="26" t="s">
        <v>141</v>
      </c>
      <c r="W21" s="46" t="s">
        <v>157</v>
      </c>
      <c r="X21" s="40">
        <f>'lead  charge'!J12</f>
        <v>0</v>
      </c>
      <c r="Y21" s="40"/>
      <c r="Z21" s="47">
        <v>16106</v>
      </c>
      <c r="AA21" s="40">
        <f>'lead  charge'!K11</f>
        <v>0</v>
      </c>
      <c r="AB21" s="40"/>
      <c r="AC21" s="27"/>
      <c r="AD21" s="31">
        <v>0</v>
      </c>
      <c r="AE21" s="26">
        <f t="shared" si="1"/>
        <v>16106</v>
      </c>
      <c r="AF21" s="26" t="s">
        <v>158</v>
      </c>
      <c r="AG21" s="48">
        <f t="shared" si="2"/>
        <v>827.4</v>
      </c>
      <c r="AH21" s="49">
        <v>591</v>
      </c>
      <c r="AI21" s="40">
        <f t="shared" si="3"/>
        <v>650.1</v>
      </c>
      <c r="AJ21" s="28">
        <f t="shared" si="4"/>
        <v>709.19999999999993</v>
      </c>
      <c r="AK21" s="28">
        <f t="shared" si="5"/>
        <v>886.5</v>
      </c>
      <c r="AL21" s="28">
        <f t="shared" si="6"/>
        <v>620.55000000000007</v>
      </c>
      <c r="AM21" s="28">
        <f t="shared" si="7"/>
        <v>738.75</v>
      </c>
      <c r="AN21" s="28">
        <f t="shared" si="8"/>
        <v>827.4</v>
      </c>
    </row>
    <row r="22" spans="1:40" ht="24" customHeight="1">
      <c r="A22" s="50">
        <f t="shared" si="9"/>
        <v>13</v>
      </c>
      <c r="B22" s="51" t="s">
        <v>159</v>
      </c>
      <c r="C22" s="47">
        <f t="shared" si="10"/>
        <v>125.86</v>
      </c>
      <c r="D22" s="51" t="s">
        <v>93</v>
      </c>
      <c r="K22" s="35" t="s">
        <v>48</v>
      </c>
      <c r="M22" s="40">
        <v>1</v>
      </c>
      <c r="N22" s="26" t="s">
        <v>93</v>
      </c>
      <c r="O22" s="26" t="s">
        <v>160</v>
      </c>
      <c r="P22" s="40">
        <f>C79</f>
        <v>2765.84</v>
      </c>
      <c r="Q22" s="26" t="s">
        <v>93</v>
      </c>
      <c r="R22" s="40">
        <f>(M22*P22)</f>
        <v>2765.84</v>
      </c>
      <c r="T22" s="27" t="s">
        <v>161</v>
      </c>
      <c r="U22" s="26" t="s">
        <v>162</v>
      </c>
      <c r="V22" s="26" t="s">
        <v>89</v>
      </c>
      <c r="W22" s="46" t="s">
        <v>157</v>
      </c>
      <c r="X22" s="40"/>
      <c r="Y22" s="40"/>
      <c r="Z22" s="47">
        <v>1297</v>
      </c>
      <c r="AA22" s="40"/>
      <c r="AB22" s="40"/>
      <c r="AC22" s="27"/>
      <c r="AD22" s="31">
        <v>0</v>
      </c>
      <c r="AE22" s="26">
        <f t="shared" si="1"/>
        <v>1297</v>
      </c>
      <c r="AF22" s="26" t="s">
        <v>163</v>
      </c>
      <c r="AG22" s="48">
        <f t="shared" si="2"/>
        <v>796.59999999999991</v>
      </c>
      <c r="AH22" s="49">
        <v>569</v>
      </c>
      <c r="AI22" s="40">
        <f t="shared" si="3"/>
        <v>625.90000000000009</v>
      </c>
      <c r="AJ22" s="28">
        <f t="shared" si="4"/>
        <v>682.8</v>
      </c>
      <c r="AK22" s="28">
        <f t="shared" si="5"/>
        <v>853.5</v>
      </c>
      <c r="AL22" s="28">
        <f t="shared" si="6"/>
        <v>597.45000000000005</v>
      </c>
      <c r="AM22" s="28">
        <f t="shared" si="7"/>
        <v>711.25</v>
      </c>
      <c r="AN22" s="28">
        <f t="shared" si="8"/>
        <v>796.59999999999991</v>
      </c>
    </row>
    <row r="23" spans="1:40" ht="24" customHeight="1">
      <c r="A23" s="50">
        <f t="shared" si="9"/>
        <v>14</v>
      </c>
      <c r="B23" s="51" t="s">
        <v>164</v>
      </c>
      <c r="C23" s="47">
        <f t="shared" si="10"/>
        <v>247.79999999999998</v>
      </c>
      <c r="D23" s="51" t="s">
        <v>93</v>
      </c>
      <c r="H23" s="26" t="s">
        <v>116</v>
      </c>
      <c r="K23" s="39">
        <f>SUM(K18:K21)</f>
        <v>7063.64</v>
      </c>
      <c r="M23" s="40">
        <v>1</v>
      </c>
      <c r="N23" s="26" t="s">
        <v>93</v>
      </c>
      <c r="O23" s="26" t="s">
        <v>165</v>
      </c>
      <c r="P23" s="40">
        <f>C85</f>
        <v>2039.8500000000001</v>
      </c>
      <c r="Q23" s="26" t="s">
        <v>93</v>
      </c>
      <c r="R23" s="40">
        <f>(M23*P23)</f>
        <v>2039.8500000000001</v>
      </c>
      <c r="T23" s="27" t="s">
        <v>166</v>
      </c>
      <c r="U23" s="26" t="s">
        <v>167</v>
      </c>
      <c r="V23" s="26" t="s">
        <v>89</v>
      </c>
      <c r="W23" s="46" t="s">
        <v>142</v>
      </c>
      <c r="X23" s="40">
        <f>X19</f>
        <v>35</v>
      </c>
      <c r="Y23" s="40">
        <f>Y19</f>
        <v>100</v>
      </c>
      <c r="Z23" s="47">
        <v>955</v>
      </c>
      <c r="AA23" s="40">
        <f>AA20</f>
        <v>211.64999999999998</v>
      </c>
      <c r="AB23" s="40">
        <f>AB19</f>
        <v>873.2</v>
      </c>
      <c r="AC23" s="27"/>
      <c r="AD23" s="31">
        <v>0</v>
      </c>
      <c r="AE23" s="26">
        <f t="shared" si="1"/>
        <v>2039.8500000000001</v>
      </c>
      <c r="AF23" s="26" t="s">
        <v>168</v>
      </c>
      <c r="AG23" s="48">
        <f t="shared" si="2"/>
        <v>828.8</v>
      </c>
      <c r="AH23" s="49">
        <v>592</v>
      </c>
      <c r="AI23" s="40">
        <f t="shared" si="3"/>
        <v>651.20000000000005</v>
      </c>
      <c r="AJ23" s="28">
        <f t="shared" si="4"/>
        <v>710.4</v>
      </c>
      <c r="AK23" s="28">
        <f t="shared" si="5"/>
        <v>888</v>
      </c>
      <c r="AL23" s="28">
        <f t="shared" si="6"/>
        <v>621.6</v>
      </c>
      <c r="AM23" s="28">
        <f t="shared" si="7"/>
        <v>740</v>
      </c>
      <c r="AN23" s="28">
        <f t="shared" si="8"/>
        <v>828.8</v>
      </c>
    </row>
    <row r="24" spans="1:40" ht="24" customHeight="1">
      <c r="A24" s="50">
        <f t="shared" si="9"/>
        <v>15</v>
      </c>
      <c r="B24" s="51" t="s">
        <v>169</v>
      </c>
      <c r="C24" s="47">
        <f t="shared" si="10"/>
        <v>247.79999999999998</v>
      </c>
      <c r="D24" s="51" t="s">
        <v>93</v>
      </c>
      <c r="K24" s="35" t="s">
        <v>48</v>
      </c>
      <c r="M24" s="40">
        <v>1.5</v>
      </c>
      <c r="N24" s="26" t="s">
        <v>93</v>
      </c>
      <c r="O24" s="26" t="s">
        <v>170</v>
      </c>
      <c r="P24" s="40">
        <f>C18</f>
        <v>121.8</v>
      </c>
      <c r="Q24" s="26" t="s">
        <v>93</v>
      </c>
      <c r="R24" s="40">
        <f>(M24*P24)</f>
        <v>182.7</v>
      </c>
      <c r="T24" s="27" t="s">
        <v>171</v>
      </c>
      <c r="U24" s="26" t="s">
        <v>172</v>
      </c>
      <c r="V24" s="26" t="s">
        <v>89</v>
      </c>
      <c r="W24" s="46" t="s">
        <v>173</v>
      </c>
      <c r="X24" s="28">
        <f>X25</f>
        <v>0</v>
      </c>
      <c r="Z24" s="47">
        <v>34300</v>
      </c>
      <c r="AA24" s="28">
        <f>AA25</f>
        <v>0</v>
      </c>
      <c r="AC24" s="33"/>
      <c r="AD24" s="31">
        <v>0</v>
      </c>
      <c r="AE24" s="26">
        <f t="shared" si="1"/>
        <v>34300</v>
      </c>
      <c r="AF24" s="26" t="s">
        <v>174</v>
      </c>
      <c r="AG24" s="48">
        <f t="shared" si="2"/>
        <v>121.8</v>
      </c>
      <c r="AH24" s="58">
        <v>87</v>
      </c>
      <c r="AI24" s="40">
        <f t="shared" si="3"/>
        <v>95.7</v>
      </c>
      <c r="AJ24" s="28">
        <f t="shared" si="4"/>
        <v>104.39999999999999</v>
      </c>
      <c r="AK24" s="28">
        <f t="shared" si="5"/>
        <v>130.5</v>
      </c>
      <c r="AL24" s="28">
        <f t="shared" si="6"/>
        <v>91.350000000000009</v>
      </c>
      <c r="AM24" s="28">
        <f t="shared" si="7"/>
        <v>108.75</v>
      </c>
      <c r="AN24" s="28">
        <f t="shared" si="8"/>
        <v>121.8</v>
      </c>
    </row>
    <row r="25" spans="1:40" ht="24" customHeight="1">
      <c r="A25" s="50">
        <f t="shared" si="9"/>
        <v>16</v>
      </c>
      <c r="B25" s="51" t="s">
        <v>175</v>
      </c>
      <c r="C25" s="52">
        <f>AG25</f>
        <v>98.98</v>
      </c>
      <c r="D25" s="51" t="s">
        <v>93</v>
      </c>
      <c r="G25" s="38" t="s">
        <v>67</v>
      </c>
      <c r="H25" s="26" t="s">
        <v>176</v>
      </c>
      <c r="M25" s="40">
        <v>1.5</v>
      </c>
      <c r="N25" s="26" t="s">
        <v>93</v>
      </c>
      <c r="O25" s="26" t="s">
        <v>177</v>
      </c>
      <c r="P25" s="40">
        <f>C27</f>
        <v>35.979999999999997</v>
      </c>
      <c r="Q25" s="26" t="s">
        <v>93</v>
      </c>
      <c r="R25" s="40">
        <f>(M25*P25)</f>
        <v>53.97</v>
      </c>
      <c r="T25" s="27" t="s">
        <v>178</v>
      </c>
      <c r="U25" s="59" t="s">
        <v>179</v>
      </c>
      <c r="V25" s="26" t="s">
        <v>89</v>
      </c>
      <c r="W25" s="46" t="s">
        <v>173</v>
      </c>
      <c r="X25" s="28">
        <f>'lead  charge'!P12</f>
        <v>0</v>
      </c>
      <c r="Z25" s="47">
        <v>39400</v>
      </c>
      <c r="AA25" s="28">
        <f>'lead  charge'!Q12</f>
        <v>0</v>
      </c>
      <c r="AC25" s="33"/>
      <c r="AD25" s="31">
        <v>0</v>
      </c>
      <c r="AE25" s="26">
        <f t="shared" si="1"/>
        <v>39400</v>
      </c>
      <c r="AF25" s="26" t="s">
        <v>180</v>
      </c>
      <c r="AG25" s="48">
        <f t="shared" si="2"/>
        <v>98.98</v>
      </c>
      <c r="AH25" s="58">
        <v>70.7</v>
      </c>
      <c r="AI25" s="40">
        <f t="shared" si="3"/>
        <v>77.77000000000001</v>
      </c>
      <c r="AJ25" s="28">
        <f t="shared" si="4"/>
        <v>84.84</v>
      </c>
      <c r="AK25" s="28">
        <f t="shared" si="5"/>
        <v>106.05000000000001</v>
      </c>
      <c r="AL25" s="28">
        <f t="shared" si="6"/>
        <v>74.234999999999999</v>
      </c>
      <c r="AM25" s="28">
        <f t="shared" si="7"/>
        <v>88.375</v>
      </c>
      <c r="AN25" s="28">
        <f t="shared" si="8"/>
        <v>98.98</v>
      </c>
    </row>
    <row r="26" spans="1:40" ht="24" customHeight="1">
      <c r="A26" s="50">
        <f t="shared" si="9"/>
        <v>17</v>
      </c>
      <c r="B26" s="51" t="s">
        <v>181</v>
      </c>
      <c r="C26" s="52">
        <f>AG28</f>
        <v>41.019999999999996</v>
      </c>
      <c r="D26" s="51" t="s">
        <v>182</v>
      </c>
      <c r="E26" s="28">
        <f>(65.8+87.9+100.7)/3</f>
        <v>84.8</v>
      </c>
      <c r="H26" s="35" t="s">
        <v>48</v>
      </c>
      <c r="N26" s="26" t="s">
        <v>106</v>
      </c>
      <c r="O26" s="26" t="s">
        <v>107</v>
      </c>
      <c r="P26" s="26" t="s">
        <v>27</v>
      </c>
      <c r="Q26" s="26" t="s">
        <v>106</v>
      </c>
      <c r="R26" s="40">
        <v>0</v>
      </c>
      <c r="T26" s="27" t="s">
        <v>183</v>
      </c>
      <c r="U26" s="26" t="s">
        <v>184</v>
      </c>
      <c r="V26" s="26" t="s">
        <v>89</v>
      </c>
      <c r="W26" s="46" t="s">
        <v>173</v>
      </c>
      <c r="X26" s="28">
        <f>X25</f>
        <v>0</v>
      </c>
      <c r="Z26" s="47">
        <v>111600</v>
      </c>
      <c r="AA26" s="28">
        <f>'lead  charge'!Q12</f>
        <v>0</v>
      </c>
      <c r="AC26" s="33"/>
      <c r="AD26" s="31">
        <v>0</v>
      </c>
      <c r="AE26" s="26">
        <f t="shared" si="1"/>
        <v>111600</v>
      </c>
      <c r="AF26" s="26" t="s">
        <v>185</v>
      </c>
      <c r="AG26" s="48">
        <f t="shared" si="2"/>
        <v>73.36</v>
      </c>
      <c r="AH26" s="58">
        <v>52.4</v>
      </c>
      <c r="AI26" s="40">
        <f t="shared" si="3"/>
        <v>57.64</v>
      </c>
      <c r="AJ26" s="28">
        <f t="shared" si="4"/>
        <v>62.879999999999995</v>
      </c>
      <c r="AK26" s="28">
        <f t="shared" si="5"/>
        <v>78.599999999999994</v>
      </c>
      <c r="AL26" s="28">
        <f t="shared" si="6"/>
        <v>55.02</v>
      </c>
      <c r="AM26" s="28">
        <f t="shared" si="7"/>
        <v>65.5</v>
      </c>
      <c r="AN26" s="28">
        <f t="shared" si="8"/>
        <v>73.36</v>
      </c>
    </row>
    <row r="27" spans="1:40" ht="24" customHeight="1">
      <c r="A27" s="50">
        <f t="shared" si="9"/>
        <v>18</v>
      </c>
      <c r="B27" s="51" t="s">
        <v>186</v>
      </c>
      <c r="C27" s="52">
        <f>AG27</f>
        <v>35.979999999999997</v>
      </c>
      <c r="D27" s="51" t="s">
        <v>182</v>
      </c>
      <c r="E27" s="28">
        <f>(59.3+83+95)/3</f>
        <v>79.100000000000009</v>
      </c>
      <c r="F27" s="40">
        <v>0.48</v>
      </c>
      <c r="G27" s="38" t="s">
        <v>84</v>
      </c>
      <c r="H27" s="26" t="s">
        <v>85</v>
      </c>
      <c r="I27" s="40">
        <f>(C67)</f>
        <v>5800</v>
      </c>
      <c r="J27" s="26" t="s">
        <v>84</v>
      </c>
      <c r="K27" s="40">
        <f>(F27*I27)</f>
        <v>2784</v>
      </c>
      <c r="R27" s="35" t="s">
        <v>48</v>
      </c>
      <c r="T27" s="27" t="s">
        <v>187</v>
      </c>
      <c r="U27" s="26" t="s">
        <v>188</v>
      </c>
      <c r="V27" s="26" t="s">
        <v>89</v>
      </c>
      <c r="W27" s="46" t="s">
        <v>173</v>
      </c>
      <c r="X27" s="28">
        <f>X26</f>
        <v>0</v>
      </c>
      <c r="Z27" s="47">
        <v>99400</v>
      </c>
      <c r="AA27" s="28">
        <f>AA26</f>
        <v>0</v>
      </c>
      <c r="AC27" s="33"/>
      <c r="AD27" s="31">
        <v>0</v>
      </c>
      <c r="AE27" s="26">
        <f t="shared" si="1"/>
        <v>99400</v>
      </c>
      <c r="AF27" s="26" t="s">
        <v>189</v>
      </c>
      <c r="AG27" s="48">
        <f t="shared" si="2"/>
        <v>35.979999999999997</v>
      </c>
      <c r="AH27" s="49">
        <v>25.7</v>
      </c>
      <c r="AI27" s="40">
        <f t="shared" si="3"/>
        <v>28.270000000000003</v>
      </c>
      <c r="AJ27" s="28">
        <f t="shared" si="4"/>
        <v>30.839999999999996</v>
      </c>
      <c r="AK27" s="28">
        <f t="shared" si="5"/>
        <v>38.549999999999997</v>
      </c>
      <c r="AL27" s="28">
        <f t="shared" si="6"/>
        <v>26.984999999999999</v>
      </c>
      <c r="AM27" s="28">
        <f t="shared" si="7"/>
        <v>32.125</v>
      </c>
      <c r="AN27" s="28">
        <f t="shared" si="8"/>
        <v>35.979999999999997</v>
      </c>
    </row>
    <row r="28" spans="1:40" ht="24" customHeight="1">
      <c r="A28" s="50">
        <f t="shared" si="9"/>
        <v>19</v>
      </c>
      <c r="B28" s="51" t="s">
        <v>190</v>
      </c>
      <c r="C28" s="60">
        <v>84.8</v>
      </c>
      <c r="D28" s="51" t="s">
        <v>106</v>
      </c>
      <c r="E28" s="28">
        <v>226.12</v>
      </c>
      <c r="F28" s="40">
        <v>1</v>
      </c>
      <c r="G28" s="38" t="s">
        <v>93</v>
      </c>
      <c r="H28" s="26" t="s">
        <v>94</v>
      </c>
      <c r="I28" s="40">
        <f>(C78)</f>
        <v>2765.84</v>
      </c>
      <c r="J28" s="26" t="s">
        <v>93</v>
      </c>
      <c r="K28" s="40">
        <f>(F28*I28)</f>
        <v>2765.84</v>
      </c>
      <c r="O28" s="26" t="s">
        <v>191</v>
      </c>
      <c r="R28" s="40">
        <f>SUM(R22:R26)</f>
        <v>5042.3600000000006</v>
      </c>
      <c r="T28" s="27" t="s">
        <v>192</v>
      </c>
      <c r="U28" s="26" t="s">
        <v>193</v>
      </c>
      <c r="V28" s="26" t="s">
        <v>89</v>
      </c>
      <c r="W28" s="46" t="s">
        <v>173</v>
      </c>
      <c r="X28" s="28">
        <f>X27</f>
        <v>0</v>
      </c>
      <c r="Z28" s="47">
        <v>95000</v>
      </c>
      <c r="AA28" s="28">
        <f>AA27</f>
        <v>0</v>
      </c>
      <c r="AC28" s="33"/>
      <c r="AD28" s="31">
        <v>0</v>
      </c>
      <c r="AE28" s="26">
        <f t="shared" si="1"/>
        <v>95000</v>
      </c>
      <c r="AF28" s="26" t="s">
        <v>194</v>
      </c>
      <c r="AG28" s="48">
        <f t="shared" si="2"/>
        <v>41.019999999999996</v>
      </c>
      <c r="AH28" s="49">
        <v>29.3</v>
      </c>
      <c r="AI28" s="40">
        <f t="shared" si="3"/>
        <v>32.230000000000004</v>
      </c>
      <c r="AJ28" s="28">
        <f t="shared" si="4"/>
        <v>35.159999999999997</v>
      </c>
      <c r="AK28" s="28">
        <f t="shared" si="5"/>
        <v>43.95</v>
      </c>
      <c r="AL28" s="28">
        <f t="shared" si="6"/>
        <v>30.765000000000001</v>
      </c>
      <c r="AM28" s="28">
        <f t="shared" si="7"/>
        <v>36.625</v>
      </c>
      <c r="AN28" s="28">
        <f t="shared" si="8"/>
        <v>41.019999999999996</v>
      </c>
    </row>
    <row r="29" spans="1:40" ht="24" customHeight="1">
      <c r="A29" s="50">
        <f t="shared" si="9"/>
        <v>20</v>
      </c>
      <c r="B29" s="51" t="s">
        <v>195</v>
      </c>
      <c r="C29" s="52">
        <f>AG23</f>
        <v>828.8</v>
      </c>
      <c r="D29" s="51" t="s">
        <v>196</v>
      </c>
      <c r="E29" s="28">
        <f>E28/3</f>
        <v>75.373333333333335</v>
      </c>
      <c r="F29" s="40">
        <v>1</v>
      </c>
      <c r="G29" s="38" t="s">
        <v>93</v>
      </c>
      <c r="H29" s="26" t="s">
        <v>99</v>
      </c>
      <c r="I29" s="40">
        <f>(C18)</f>
        <v>121.8</v>
      </c>
      <c r="J29" s="26" t="s">
        <v>93</v>
      </c>
      <c r="K29" s="40">
        <f>(F29*I29)</f>
        <v>121.8</v>
      </c>
      <c r="R29" s="35" t="s">
        <v>48</v>
      </c>
      <c r="T29" s="27" t="s">
        <v>197</v>
      </c>
      <c r="U29" s="26" t="s">
        <v>198</v>
      </c>
      <c r="V29" s="26" t="s">
        <v>141</v>
      </c>
      <c r="W29" s="61" t="str">
        <f>W18</f>
        <v>Thadagam</v>
      </c>
      <c r="X29" s="40">
        <f>X18</f>
        <v>35</v>
      </c>
      <c r="Y29" s="40">
        <f>Y18</f>
        <v>100</v>
      </c>
      <c r="Z29" s="47">
        <v>4095</v>
      </c>
      <c r="AA29" s="40">
        <f>'lead  charge'!H10</f>
        <v>259.64999999999998</v>
      </c>
      <c r="AB29" s="40">
        <f>AB18</f>
        <v>1070</v>
      </c>
      <c r="AC29" s="33"/>
      <c r="AD29" s="31">
        <v>0</v>
      </c>
      <c r="AE29" s="26">
        <f t="shared" si="1"/>
        <v>5424.65</v>
      </c>
      <c r="AF29" s="26" t="s">
        <v>199</v>
      </c>
      <c r="AG29" s="48">
        <f t="shared" si="2"/>
        <v>117.6</v>
      </c>
      <c r="AH29" s="49">
        <v>84</v>
      </c>
      <c r="AI29" s="40">
        <f t="shared" si="3"/>
        <v>92.4</v>
      </c>
      <c r="AJ29" s="28">
        <f t="shared" si="4"/>
        <v>100.8</v>
      </c>
      <c r="AK29" s="28">
        <f t="shared" si="5"/>
        <v>126</v>
      </c>
      <c r="AL29" s="28">
        <f t="shared" si="6"/>
        <v>88.2</v>
      </c>
      <c r="AM29" s="28">
        <f t="shared" si="7"/>
        <v>105</v>
      </c>
      <c r="AN29" s="28">
        <f t="shared" si="8"/>
        <v>117.6</v>
      </c>
    </row>
    <row r="30" spans="1:40" ht="24" customHeight="1">
      <c r="A30" s="50">
        <f t="shared" si="9"/>
        <v>21</v>
      </c>
      <c r="B30" s="51" t="s">
        <v>200</v>
      </c>
      <c r="C30" s="52">
        <f>AG33</f>
        <v>14384.999999999998</v>
      </c>
      <c r="D30" s="62">
        <f>AG31</f>
        <v>1348.1999999999998</v>
      </c>
      <c r="G30" s="38" t="s">
        <v>106</v>
      </c>
      <c r="H30" s="26" t="s">
        <v>107</v>
      </c>
      <c r="I30" s="26" t="s">
        <v>27</v>
      </c>
      <c r="J30" s="26" t="s">
        <v>106</v>
      </c>
      <c r="K30" s="40">
        <v>0</v>
      </c>
      <c r="O30" s="26" t="s">
        <v>201</v>
      </c>
      <c r="R30" s="40">
        <f>(R28/1.5)</f>
        <v>3361.5733333333337</v>
      </c>
      <c r="T30" s="27" t="s">
        <v>202</v>
      </c>
      <c r="U30" s="26" t="s">
        <v>203</v>
      </c>
      <c r="V30" s="26" t="s">
        <v>141</v>
      </c>
      <c r="W30" s="46" t="s">
        <v>173</v>
      </c>
      <c r="X30" s="40"/>
      <c r="Y30" s="40"/>
      <c r="Z30" s="47">
        <v>11559</v>
      </c>
      <c r="AA30" s="40"/>
      <c r="AB30" s="40"/>
      <c r="AC30" s="27"/>
      <c r="AD30" s="31">
        <v>0</v>
      </c>
      <c r="AE30" s="26">
        <f t="shared" si="1"/>
        <v>11559</v>
      </c>
      <c r="AF30" s="26" t="s">
        <v>204</v>
      </c>
      <c r="AG30" s="48">
        <f t="shared" si="2"/>
        <v>1617</v>
      </c>
      <c r="AH30" s="58">
        <v>1155</v>
      </c>
      <c r="AI30" s="40">
        <f t="shared" si="3"/>
        <v>1270.5</v>
      </c>
      <c r="AJ30" s="28">
        <f t="shared" si="4"/>
        <v>1386</v>
      </c>
      <c r="AK30" s="28">
        <f t="shared" si="5"/>
        <v>1732.5</v>
      </c>
      <c r="AL30" s="28">
        <f t="shared" si="6"/>
        <v>1212.75</v>
      </c>
      <c r="AM30" s="28">
        <f t="shared" si="7"/>
        <v>1443.75</v>
      </c>
      <c r="AN30" s="28">
        <f t="shared" si="8"/>
        <v>1617</v>
      </c>
    </row>
    <row r="31" spans="1:40" ht="24" customHeight="1">
      <c r="A31" s="50">
        <f t="shared" si="9"/>
        <v>22</v>
      </c>
      <c r="B31" s="51" t="s">
        <v>205</v>
      </c>
      <c r="C31" s="52">
        <f>AG30</f>
        <v>1617</v>
      </c>
      <c r="D31" s="62">
        <f>AG32</f>
        <v>1509.1999999999998</v>
      </c>
      <c r="K31" s="35" t="s">
        <v>48</v>
      </c>
      <c r="O31" s="26" t="s">
        <v>49</v>
      </c>
      <c r="R31" s="35" t="s">
        <v>41</v>
      </c>
      <c r="T31" s="27" t="s">
        <v>206</v>
      </c>
      <c r="U31" s="26" t="s">
        <v>207</v>
      </c>
      <c r="V31" s="26" t="s">
        <v>84</v>
      </c>
      <c r="W31" s="46" t="s">
        <v>173</v>
      </c>
      <c r="X31" s="40">
        <f>'lead  charge'!D14</f>
        <v>0</v>
      </c>
      <c r="Y31" s="40"/>
      <c r="Z31" s="47">
        <v>5800</v>
      </c>
      <c r="AA31" s="40">
        <f>'lead  charge'!E14</f>
        <v>0</v>
      </c>
      <c r="AB31" s="40"/>
      <c r="AC31" s="27"/>
      <c r="AD31" s="31"/>
      <c r="AE31" s="26">
        <f t="shared" si="1"/>
        <v>5800</v>
      </c>
      <c r="AF31" s="26" t="s">
        <v>208</v>
      </c>
      <c r="AG31" s="48">
        <f t="shared" si="2"/>
        <v>1348.1999999999998</v>
      </c>
      <c r="AH31" s="58">
        <v>963</v>
      </c>
      <c r="AI31" s="40">
        <f t="shared" si="3"/>
        <v>1059.3000000000002</v>
      </c>
      <c r="AJ31" s="28">
        <f t="shared" si="4"/>
        <v>1155.5999999999999</v>
      </c>
      <c r="AK31" s="28">
        <f t="shared" si="5"/>
        <v>1444.5</v>
      </c>
      <c r="AL31" s="28">
        <f t="shared" si="6"/>
        <v>1011.1500000000001</v>
      </c>
      <c r="AM31" s="28">
        <f t="shared" si="7"/>
        <v>1203.75</v>
      </c>
      <c r="AN31" s="28">
        <f t="shared" si="8"/>
        <v>1348.1999999999998</v>
      </c>
    </row>
    <row r="32" spans="1:40" ht="24" customHeight="1">
      <c r="A32" s="50">
        <f t="shared" si="9"/>
        <v>23</v>
      </c>
      <c r="B32" s="51" t="s">
        <v>209</v>
      </c>
      <c r="C32" s="63">
        <v>2.5</v>
      </c>
      <c r="D32" s="52">
        <f>AG34</f>
        <v>1261.3999999999999</v>
      </c>
      <c r="H32" s="26" t="s">
        <v>116</v>
      </c>
      <c r="K32" s="39">
        <f>SUM(K27:K30)</f>
        <v>5671.64</v>
      </c>
      <c r="T32" s="27" t="s">
        <v>210</v>
      </c>
      <c r="U32" s="26" t="s">
        <v>211</v>
      </c>
      <c r="V32" s="26" t="s">
        <v>84</v>
      </c>
      <c r="W32" s="46" t="s">
        <v>157</v>
      </c>
      <c r="X32" s="40">
        <f>'lead  charge'!D15</f>
        <v>0</v>
      </c>
      <c r="Y32" s="40"/>
      <c r="Z32" s="47">
        <v>45000</v>
      </c>
      <c r="AA32" s="40">
        <f>AA31</f>
        <v>0</v>
      </c>
      <c r="AB32" s="40"/>
      <c r="AC32" s="27"/>
      <c r="AD32" s="31">
        <v>0</v>
      </c>
      <c r="AE32" s="26">
        <f t="shared" si="1"/>
        <v>45000</v>
      </c>
      <c r="AF32" s="26" t="s">
        <v>212</v>
      </c>
      <c r="AG32" s="48">
        <f t="shared" si="2"/>
        <v>1509.1999999999998</v>
      </c>
      <c r="AH32" s="58">
        <v>1078</v>
      </c>
      <c r="AI32" s="40">
        <f t="shared" si="3"/>
        <v>1185.8000000000002</v>
      </c>
      <c r="AJ32" s="28">
        <f t="shared" si="4"/>
        <v>1293.5999999999999</v>
      </c>
      <c r="AK32" s="28">
        <f t="shared" si="5"/>
        <v>1617</v>
      </c>
      <c r="AL32" s="28">
        <f t="shared" si="6"/>
        <v>1131.9000000000001</v>
      </c>
      <c r="AM32" s="28">
        <f t="shared" si="7"/>
        <v>1347.5</v>
      </c>
      <c r="AN32" s="28">
        <f t="shared" si="8"/>
        <v>1509.1999999999998</v>
      </c>
    </row>
    <row r="33" spans="1:40" ht="24" customHeight="1">
      <c r="A33" s="50">
        <f t="shared" si="9"/>
        <v>24</v>
      </c>
      <c r="B33" s="51" t="s">
        <v>213</v>
      </c>
      <c r="C33" s="63">
        <v>3.64</v>
      </c>
      <c r="D33" s="52">
        <f>AG35</f>
        <v>1127</v>
      </c>
      <c r="K33" s="35" t="s">
        <v>48</v>
      </c>
      <c r="T33" s="64" t="s">
        <v>214</v>
      </c>
      <c r="U33" s="26" t="s">
        <v>215</v>
      </c>
      <c r="V33" s="26" t="s">
        <v>84</v>
      </c>
      <c r="W33" s="46" t="s">
        <v>157</v>
      </c>
      <c r="X33" s="40">
        <f>X32</f>
        <v>0</v>
      </c>
      <c r="Y33" s="40"/>
      <c r="Z33" s="47">
        <f>Z32</f>
        <v>45000</v>
      </c>
      <c r="AA33" s="40">
        <f>AA32</f>
        <v>0</v>
      </c>
      <c r="AB33" s="40"/>
      <c r="AC33" s="27"/>
      <c r="AD33" s="31">
        <v>0</v>
      </c>
      <c r="AE33" s="26">
        <f t="shared" si="1"/>
        <v>45000</v>
      </c>
      <c r="AF33" s="26" t="s">
        <v>216</v>
      </c>
      <c r="AG33" s="48">
        <f t="shared" si="2"/>
        <v>14384.999999999998</v>
      </c>
      <c r="AH33" s="58">
        <v>10275</v>
      </c>
      <c r="AI33" s="40">
        <f t="shared" si="3"/>
        <v>11302.500000000002</v>
      </c>
      <c r="AJ33" s="28">
        <f t="shared" si="4"/>
        <v>12330</v>
      </c>
      <c r="AK33" s="28">
        <f t="shared" si="5"/>
        <v>15412.5</v>
      </c>
      <c r="AL33" s="28">
        <f t="shared" si="6"/>
        <v>10788.75</v>
      </c>
      <c r="AM33" s="28">
        <f t="shared" si="7"/>
        <v>12843.75</v>
      </c>
      <c r="AN33" s="28">
        <f t="shared" si="8"/>
        <v>14384.999999999998</v>
      </c>
    </row>
    <row r="34" spans="1:40" ht="24" customHeight="1">
      <c r="A34" s="50">
        <f t="shared" si="9"/>
        <v>25</v>
      </c>
      <c r="B34" s="51" t="s">
        <v>217</v>
      </c>
      <c r="C34" s="47">
        <v>41200</v>
      </c>
      <c r="D34" s="47">
        <f>C34</f>
        <v>41200</v>
      </c>
      <c r="G34" s="38" t="s">
        <v>67</v>
      </c>
      <c r="H34" s="26" t="s">
        <v>218</v>
      </c>
      <c r="T34" s="64" t="s">
        <v>219</v>
      </c>
      <c r="U34" s="26" t="s">
        <v>220</v>
      </c>
      <c r="V34" s="26" t="s">
        <v>141</v>
      </c>
      <c r="W34" s="65" t="str">
        <f>W18</f>
        <v>Thadagam</v>
      </c>
      <c r="X34" s="40">
        <f>'lead  charge'!G10</f>
        <v>35</v>
      </c>
      <c r="Y34" s="40">
        <f>Y29</f>
        <v>100</v>
      </c>
      <c r="Z34" s="47">
        <f>Z29</f>
        <v>4095</v>
      </c>
      <c r="AA34" s="40">
        <f>AA29</f>
        <v>259.64999999999998</v>
      </c>
      <c r="AB34" s="40">
        <f>AB29</f>
        <v>1070</v>
      </c>
      <c r="AC34" s="27"/>
      <c r="AD34" s="31">
        <v>0</v>
      </c>
      <c r="AE34" s="26">
        <f t="shared" si="1"/>
        <v>5424.65</v>
      </c>
      <c r="AF34" s="26" t="s">
        <v>221</v>
      </c>
      <c r="AG34" s="48">
        <f t="shared" si="2"/>
        <v>1261.3999999999999</v>
      </c>
      <c r="AH34" s="58">
        <v>901</v>
      </c>
      <c r="AI34" s="40">
        <f t="shared" si="3"/>
        <v>991.10000000000014</v>
      </c>
      <c r="AJ34" s="28">
        <f t="shared" si="4"/>
        <v>1081.2</v>
      </c>
      <c r="AK34" s="28">
        <f t="shared" si="5"/>
        <v>1351.5</v>
      </c>
      <c r="AL34" s="28">
        <f t="shared" si="6"/>
        <v>946.05000000000007</v>
      </c>
      <c r="AM34" s="28">
        <f t="shared" si="7"/>
        <v>1126.25</v>
      </c>
      <c r="AN34" s="28">
        <f t="shared" si="8"/>
        <v>1261.3999999999999</v>
      </c>
    </row>
    <row r="35" spans="1:40" ht="24" customHeight="1">
      <c r="A35" s="50">
        <f t="shared" si="9"/>
        <v>26</v>
      </c>
      <c r="B35" s="51" t="s">
        <v>24</v>
      </c>
      <c r="C35" s="52">
        <f>AE38</f>
        <v>210</v>
      </c>
      <c r="D35" s="66"/>
      <c r="F35" s="40">
        <v>0.36</v>
      </c>
      <c r="G35" s="38" t="s">
        <v>84</v>
      </c>
      <c r="H35" s="26" t="s">
        <v>85</v>
      </c>
      <c r="I35" s="40">
        <f>C67</f>
        <v>5800</v>
      </c>
      <c r="J35" s="26" t="s">
        <v>84</v>
      </c>
      <c r="K35" s="40">
        <f>(F35*I35)</f>
        <v>2088</v>
      </c>
      <c r="T35" s="67" t="s">
        <v>222</v>
      </c>
      <c r="U35" s="68" t="s">
        <v>223</v>
      </c>
      <c r="V35" s="68" t="s">
        <v>89</v>
      </c>
      <c r="W35" s="69" t="str">
        <f>W11</f>
        <v>Kurunthamalai</v>
      </c>
      <c r="X35" s="57">
        <f>X11</f>
        <v>10</v>
      </c>
      <c r="Y35" s="57">
        <f>Y9</f>
        <v>100</v>
      </c>
      <c r="Z35" s="70">
        <v>835</v>
      </c>
      <c r="AA35" s="40">
        <f>AA11</f>
        <v>104</v>
      </c>
      <c r="AB35" s="40">
        <f>AB9</f>
        <v>1421.8</v>
      </c>
      <c r="AC35" s="27"/>
      <c r="AD35" s="31"/>
      <c r="AE35" s="26">
        <f t="shared" si="1"/>
        <v>2360.8000000000002</v>
      </c>
      <c r="AF35" s="26" t="s">
        <v>224</v>
      </c>
      <c r="AG35" s="48">
        <f t="shared" si="2"/>
        <v>1127</v>
      </c>
      <c r="AH35" s="58">
        <v>805</v>
      </c>
      <c r="AI35" s="40">
        <f t="shared" si="3"/>
        <v>885.50000000000011</v>
      </c>
      <c r="AJ35" s="28">
        <f t="shared" si="4"/>
        <v>966</v>
      </c>
      <c r="AK35" s="28">
        <f t="shared" si="5"/>
        <v>1207.5</v>
      </c>
      <c r="AL35" s="28">
        <f t="shared" si="6"/>
        <v>845.25</v>
      </c>
      <c r="AM35" s="28">
        <f t="shared" si="7"/>
        <v>1006.25</v>
      </c>
      <c r="AN35" s="28">
        <f t="shared" si="8"/>
        <v>1127</v>
      </c>
    </row>
    <row r="36" spans="1:40" ht="24" customHeight="1">
      <c r="A36" s="66" t="s">
        <v>27</v>
      </c>
      <c r="B36" s="51" t="s">
        <v>225</v>
      </c>
      <c r="C36" s="47">
        <v>8.1</v>
      </c>
      <c r="D36" s="66"/>
      <c r="F36" s="40">
        <v>1</v>
      </c>
      <c r="G36" s="38" t="s">
        <v>93</v>
      </c>
      <c r="H36" s="26" t="s">
        <v>94</v>
      </c>
      <c r="I36" s="40">
        <f>AE16</f>
        <v>2765.84</v>
      </c>
      <c r="J36" s="26" t="s">
        <v>93</v>
      </c>
      <c r="K36" s="40">
        <f>(F36*I36)</f>
        <v>2765.84</v>
      </c>
      <c r="T36" s="67" t="s">
        <v>226</v>
      </c>
      <c r="U36" s="68" t="s">
        <v>227</v>
      </c>
      <c r="V36" s="68" t="s">
        <v>89</v>
      </c>
      <c r="W36" s="69" t="str">
        <f>W12</f>
        <v>Kurunthamalai</v>
      </c>
      <c r="X36" s="57">
        <f>X11</f>
        <v>10</v>
      </c>
      <c r="Y36" s="57">
        <f>Y35</f>
        <v>100</v>
      </c>
      <c r="Z36" s="70">
        <v>941</v>
      </c>
      <c r="AA36" s="40">
        <f>AA11</f>
        <v>104</v>
      </c>
      <c r="AB36" s="40">
        <f>AB35</f>
        <v>1421.8</v>
      </c>
      <c r="AC36" s="27"/>
      <c r="AD36" s="31">
        <v>0</v>
      </c>
      <c r="AE36" s="26">
        <f t="shared" si="1"/>
        <v>2466.8000000000002</v>
      </c>
      <c r="AF36" s="26" t="s">
        <v>228</v>
      </c>
      <c r="AG36" s="48">
        <f t="shared" si="2"/>
        <v>175.28</v>
      </c>
      <c r="AH36" s="49">
        <v>125.2</v>
      </c>
      <c r="AI36" s="40">
        <f t="shared" si="3"/>
        <v>137.72000000000003</v>
      </c>
      <c r="AJ36" s="28">
        <f t="shared" si="4"/>
        <v>150.24</v>
      </c>
      <c r="AK36" s="28">
        <f t="shared" si="5"/>
        <v>187.8</v>
      </c>
      <c r="AL36" s="28">
        <f t="shared" si="6"/>
        <v>131.46</v>
      </c>
      <c r="AM36" s="28">
        <f t="shared" si="7"/>
        <v>156.5</v>
      </c>
      <c r="AN36" s="28">
        <f t="shared" si="8"/>
        <v>175.28</v>
      </c>
    </row>
    <row r="37" spans="1:40" ht="24" customHeight="1">
      <c r="A37" s="66"/>
      <c r="B37" s="51" t="s">
        <v>229</v>
      </c>
      <c r="C37" s="71">
        <v>41.6</v>
      </c>
      <c r="D37" s="66"/>
      <c r="F37" s="40">
        <v>1</v>
      </c>
      <c r="G37" s="38" t="s">
        <v>93</v>
      </c>
      <c r="H37" s="26" t="s">
        <v>99</v>
      </c>
      <c r="I37" s="40">
        <f>C18</f>
        <v>121.8</v>
      </c>
      <c r="J37" s="26" t="s">
        <v>93</v>
      </c>
      <c r="K37" s="40">
        <f>(F37*I37)</f>
        <v>121.8</v>
      </c>
      <c r="T37" s="67" t="s">
        <v>230</v>
      </c>
      <c r="U37" s="68" t="s">
        <v>231</v>
      </c>
      <c r="V37" s="68" t="s">
        <v>89</v>
      </c>
      <c r="W37" s="69" t="str">
        <f>W13</f>
        <v>Kurunthamalai</v>
      </c>
      <c r="X37" s="57">
        <f>X36</f>
        <v>10</v>
      </c>
      <c r="Y37" s="57">
        <f>Y35</f>
        <v>100</v>
      </c>
      <c r="Z37" s="70">
        <v>795.75</v>
      </c>
      <c r="AA37" s="40">
        <f>AA11</f>
        <v>104</v>
      </c>
      <c r="AB37" s="40">
        <f>AB35</f>
        <v>1421.8</v>
      </c>
      <c r="AC37" s="27"/>
      <c r="AD37" s="31">
        <v>0</v>
      </c>
      <c r="AE37" s="26">
        <f t="shared" si="1"/>
        <v>2321.5500000000002</v>
      </c>
      <c r="AF37" s="26" t="s">
        <v>232</v>
      </c>
      <c r="AG37" s="48">
        <f t="shared" si="2"/>
        <v>905.8</v>
      </c>
      <c r="AH37" s="49">
        <v>647</v>
      </c>
      <c r="AI37" s="40">
        <f t="shared" si="3"/>
        <v>711.7</v>
      </c>
      <c r="AJ37" s="28">
        <f t="shared" si="4"/>
        <v>776.4</v>
      </c>
      <c r="AK37" s="28">
        <f t="shared" si="5"/>
        <v>970.5</v>
      </c>
      <c r="AL37" s="28">
        <f t="shared" si="6"/>
        <v>679.35</v>
      </c>
      <c r="AM37" s="28">
        <f t="shared" si="7"/>
        <v>808.75</v>
      </c>
      <c r="AN37" s="28">
        <f t="shared" si="8"/>
        <v>905.8</v>
      </c>
    </row>
    <row r="38" spans="1:40" ht="24" customHeight="1">
      <c r="A38" s="50">
        <f>(A35+1)</f>
        <v>27</v>
      </c>
      <c r="B38" s="51" t="s">
        <v>233</v>
      </c>
      <c r="C38" s="63">
        <v>40</v>
      </c>
      <c r="D38" s="51">
        <v>1.6</v>
      </c>
      <c r="G38" s="38" t="s">
        <v>106</v>
      </c>
      <c r="H38" s="26" t="s">
        <v>107</v>
      </c>
      <c r="I38" s="26" t="s">
        <v>27</v>
      </c>
      <c r="J38" s="26" t="s">
        <v>106</v>
      </c>
      <c r="K38" s="40">
        <v>0</v>
      </c>
      <c r="T38" s="27" t="s">
        <v>234</v>
      </c>
      <c r="U38" s="26" t="s">
        <v>235</v>
      </c>
      <c r="V38" s="26" t="s">
        <v>89</v>
      </c>
      <c r="W38" s="46"/>
      <c r="X38" s="40">
        <f>'lead  charge'!D13</f>
        <v>0</v>
      </c>
      <c r="Y38" s="40"/>
      <c r="Z38" s="72">
        <v>210</v>
      </c>
      <c r="AA38" s="40">
        <f>'lead  charge'!E13</f>
        <v>0</v>
      </c>
      <c r="AB38" s="40"/>
      <c r="AC38" s="27"/>
      <c r="AD38" s="31">
        <v>0</v>
      </c>
      <c r="AE38" s="26">
        <f t="shared" si="1"/>
        <v>210</v>
      </c>
      <c r="AF38" s="26" t="s">
        <v>236</v>
      </c>
      <c r="AG38" s="48">
        <f t="shared" si="2"/>
        <v>933.8</v>
      </c>
      <c r="AH38" s="49">
        <v>667</v>
      </c>
      <c r="AI38" s="40">
        <f t="shared" si="3"/>
        <v>733.7</v>
      </c>
      <c r="AJ38" s="28">
        <f t="shared" si="4"/>
        <v>800.4</v>
      </c>
      <c r="AK38" s="28">
        <f t="shared" si="5"/>
        <v>1000.5</v>
      </c>
      <c r="AL38" s="28">
        <f t="shared" si="6"/>
        <v>700.35</v>
      </c>
      <c r="AM38" s="28">
        <f t="shared" si="7"/>
        <v>833.75</v>
      </c>
      <c r="AN38" s="28">
        <f t="shared" si="8"/>
        <v>933.8</v>
      </c>
    </row>
    <row r="39" spans="1:40" ht="24" customHeight="1">
      <c r="A39" s="50">
        <f t="shared" ref="A39:A58" si="11">(A38+1)</f>
        <v>28</v>
      </c>
      <c r="B39" s="51" t="s">
        <v>237</v>
      </c>
      <c r="C39" s="63">
        <v>41</v>
      </c>
      <c r="D39" s="52">
        <v>500</v>
      </c>
      <c r="K39" s="35" t="s">
        <v>48</v>
      </c>
      <c r="T39" s="64">
        <v>31</v>
      </c>
      <c r="U39" s="26" t="s">
        <v>238</v>
      </c>
      <c r="V39" s="26" t="s">
        <v>89</v>
      </c>
      <c r="W39" s="46"/>
      <c r="X39" s="40">
        <f>'lead  charge'!D16</f>
        <v>0</v>
      </c>
      <c r="Y39" s="40"/>
      <c r="Z39" s="72">
        <v>157</v>
      </c>
      <c r="AA39" s="40">
        <f>'lead  charge'!E16</f>
        <v>0</v>
      </c>
      <c r="AB39" s="40"/>
      <c r="AC39" s="27"/>
      <c r="AD39" s="31">
        <v>0</v>
      </c>
      <c r="AE39" s="26">
        <f t="shared" si="1"/>
        <v>157</v>
      </c>
      <c r="AF39" s="26" t="s">
        <v>239</v>
      </c>
      <c r="AG39" s="48">
        <f t="shared" si="2"/>
        <v>78.539999999999992</v>
      </c>
      <c r="AH39" s="49">
        <v>56.1</v>
      </c>
      <c r="AI39" s="40">
        <f t="shared" si="3"/>
        <v>61.710000000000008</v>
      </c>
      <c r="AJ39" s="28">
        <f t="shared" si="4"/>
        <v>67.319999999999993</v>
      </c>
      <c r="AK39" s="28">
        <f t="shared" si="5"/>
        <v>84.15</v>
      </c>
      <c r="AL39" s="28">
        <f t="shared" si="6"/>
        <v>58.905000000000001</v>
      </c>
      <c r="AM39" s="28">
        <f t="shared" si="7"/>
        <v>70.125</v>
      </c>
      <c r="AN39" s="28">
        <f t="shared" si="8"/>
        <v>78.539999999999992</v>
      </c>
    </row>
    <row r="40" spans="1:40" ht="24" customHeight="1">
      <c r="A40" s="50">
        <f t="shared" si="11"/>
        <v>29</v>
      </c>
      <c r="B40" s="51" t="s">
        <v>240</v>
      </c>
      <c r="C40" s="63">
        <v>28</v>
      </c>
      <c r="D40" s="73">
        <v>116.2</v>
      </c>
      <c r="H40" s="26" t="s">
        <v>116</v>
      </c>
      <c r="K40" s="39">
        <f>SUM(K35:K38)</f>
        <v>4975.6400000000003</v>
      </c>
      <c r="T40" s="35"/>
      <c r="W40" s="74" t="s">
        <v>48</v>
      </c>
      <c r="AE40" s="26">
        <f t="shared" si="1"/>
        <v>0</v>
      </c>
      <c r="AG40" s="48"/>
      <c r="AI40" s="40"/>
      <c r="AN40" s="28">
        <f t="shared" si="8"/>
        <v>0</v>
      </c>
    </row>
    <row r="41" spans="1:40" ht="24" customHeight="1">
      <c r="A41" s="50">
        <f t="shared" si="11"/>
        <v>30</v>
      </c>
      <c r="B41" s="51" t="s">
        <v>241</v>
      </c>
      <c r="C41" s="52">
        <f>AG22</f>
        <v>796.59999999999991</v>
      </c>
      <c r="D41" s="51" t="s">
        <v>196</v>
      </c>
      <c r="K41" s="35" t="s">
        <v>48</v>
      </c>
      <c r="U41" s="26" t="s">
        <v>242</v>
      </c>
      <c r="V41" s="26" t="s">
        <v>141</v>
      </c>
      <c r="W41" s="46" t="str">
        <f>+W18</f>
        <v>Thadagam</v>
      </c>
      <c r="X41" s="40">
        <f>'lead  charge'!M10</f>
        <v>35</v>
      </c>
      <c r="Y41" s="40">
        <f>'lead  charge'!M36</f>
        <v>100</v>
      </c>
      <c r="Z41" s="47">
        <v>6282</v>
      </c>
      <c r="AA41" s="40">
        <f>'lead  charge'!N10</f>
        <v>432.94999999999993</v>
      </c>
      <c r="AB41" s="40">
        <f>'lead  charge'!N36</f>
        <v>1784.5</v>
      </c>
      <c r="AC41" s="27">
        <v>0</v>
      </c>
      <c r="AD41" s="31">
        <v>0</v>
      </c>
      <c r="AE41" s="26">
        <f t="shared" si="1"/>
        <v>8499.4500000000007</v>
      </c>
      <c r="AF41" s="51" t="s">
        <v>144</v>
      </c>
      <c r="AG41" s="48">
        <f t="shared" si="2"/>
        <v>82.88</v>
      </c>
      <c r="AH41" s="49">
        <v>59.2</v>
      </c>
      <c r="AI41" s="40">
        <f t="shared" si="3"/>
        <v>65.12</v>
      </c>
      <c r="AJ41" s="28">
        <f t="shared" si="4"/>
        <v>71.040000000000006</v>
      </c>
      <c r="AK41" s="28">
        <f t="shared" si="5"/>
        <v>88.800000000000011</v>
      </c>
      <c r="AL41" s="28">
        <f t="shared" si="6"/>
        <v>62.160000000000004</v>
      </c>
      <c r="AM41" s="28">
        <f t="shared" si="7"/>
        <v>74</v>
      </c>
      <c r="AN41" s="28">
        <f t="shared" si="8"/>
        <v>82.88</v>
      </c>
    </row>
    <row r="42" spans="1:40" ht="24" customHeight="1">
      <c r="A42" s="50">
        <f t="shared" si="11"/>
        <v>31</v>
      </c>
      <c r="B42" s="51" t="s">
        <v>243</v>
      </c>
      <c r="C42" s="63">
        <v>5</v>
      </c>
      <c r="D42" s="75" t="s">
        <v>244</v>
      </c>
      <c r="G42" s="38" t="s">
        <v>67</v>
      </c>
      <c r="H42" s="26" t="s">
        <v>245</v>
      </c>
      <c r="U42" s="26" t="s">
        <v>246</v>
      </c>
      <c r="V42" s="26" t="s">
        <v>141</v>
      </c>
      <c r="W42" s="46" t="str">
        <f>+W41</f>
        <v>Thadagam</v>
      </c>
      <c r="X42" s="40">
        <f>X41</f>
        <v>35</v>
      </c>
      <c r="Y42" s="40">
        <f>Y41</f>
        <v>100</v>
      </c>
      <c r="Z42" s="47">
        <v>6469</v>
      </c>
      <c r="AA42" s="40">
        <f>AA41</f>
        <v>432.94999999999993</v>
      </c>
      <c r="AB42" s="40">
        <f>AB41</f>
        <v>1784.5</v>
      </c>
      <c r="AC42" s="27">
        <v>0</v>
      </c>
      <c r="AD42" s="31">
        <v>0</v>
      </c>
      <c r="AE42" s="26">
        <f t="shared" si="1"/>
        <v>8686.4500000000007</v>
      </c>
      <c r="AF42" s="51" t="s">
        <v>149</v>
      </c>
      <c r="AG42" s="48">
        <f t="shared" si="2"/>
        <v>167.01999999999998</v>
      </c>
      <c r="AH42" s="49">
        <v>119.3</v>
      </c>
      <c r="AI42" s="40">
        <f t="shared" si="3"/>
        <v>131.23000000000002</v>
      </c>
      <c r="AJ42" s="28">
        <f t="shared" si="4"/>
        <v>143.16</v>
      </c>
      <c r="AK42" s="28">
        <f t="shared" si="5"/>
        <v>178.95</v>
      </c>
      <c r="AL42" s="28">
        <f t="shared" si="6"/>
        <v>125.265</v>
      </c>
      <c r="AM42" s="28">
        <f t="shared" si="7"/>
        <v>149.125</v>
      </c>
      <c r="AN42" s="28">
        <f t="shared" si="8"/>
        <v>167.01999999999998</v>
      </c>
    </row>
    <row r="43" spans="1:40" ht="24" customHeight="1">
      <c r="A43" s="50">
        <f t="shared" si="11"/>
        <v>32</v>
      </c>
      <c r="B43" s="51" t="s">
        <v>247</v>
      </c>
      <c r="C43" s="47">
        <v>7.1</v>
      </c>
      <c r="D43" s="75" t="s">
        <v>196</v>
      </c>
      <c r="H43" s="35" t="s">
        <v>48</v>
      </c>
      <c r="U43" s="26" t="s">
        <v>248</v>
      </c>
      <c r="V43" s="26" t="s">
        <v>249</v>
      </c>
      <c r="W43" s="46"/>
      <c r="X43" s="28">
        <f>'lead  charge'!P13</f>
        <v>0</v>
      </c>
      <c r="Z43" s="47">
        <v>120.1</v>
      </c>
      <c r="AA43" s="40">
        <f>'lead  charge'!Q13</f>
        <v>0</v>
      </c>
      <c r="AB43" s="40"/>
      <c r="AC43" s="27">
        <v>0</v>
      </c>
      <c r="AD43" s="31">
        <v>0</v>
      </c>
      <c r="AE43" s="26">
        <f t="shared" si="1"/>
        <v>120.1</v>
      </c>
      <c r="AF43" s="51" t="s">
        <v>154</v>
      </c>
      <c r="AG43" s="48">
        <f t="shared" si="2"/>
        <v>167.01999999999998</v>
      </c>
      <c r="AH43" s="49">
        <f>AH42</f>
        <v>119.3</v>
      </c>
      <c r="AI43" s="40">
        <f t="shared" si="3"/>
        <v>131.23000000000002</v>
      </c>
      <c r="AJ43" s="28">
        <f t="shared" si="4"/>
        <v>143.16</v>
      </c>
      <c r="AK43" s="28">
        <f t="shared" si="5"/>
        <v>178.95</v>
      </c>
      <c r="AL43" s="28">
        <f t="shared" si="6"/>
        <v>125.265</v>
      </c>
      <c r="AM43" s="28">
        <f t="shared" si="7"/>
        <v>149.125</v>
      </c>
      <c r="AN43" s="28">
        <f t="shared" si="8"/>
        <v>167.01999999999998</v>
      </c>
    </row>
    <row r="44" spans="1:40" ht="24" customHeight="1">
      <c r="A44" s="50">
        <f t="shared" si="11"/>
        <v>33</v>
      </c>
      <c r="B44" s="51" t="s">
        <v>250</v>
      </c>
      <c r="C44" s="47">
        <v>7.1</v>
      </c>
      <c r="D44" s="75" t="s">
        <v>196</v>
      </c>
      <c r="F44" s="76">
        <v>0.28799999999999998</v>
      </c>
      <c r="G44" s="38" t="s">
        <v>84</v>
      </c>
      <c r="H44" s="26" t="s">
        <v>85</v>
      </c>
      <c r="I44" s="40">
        <f>(C67)</f>
        <v>5800</v>
      </c>
      <c r="J44" s="26" t="s">
        <v>84</v>
      </c>
      <c r="K44" s="40">
        <f>(F44*I44)</f>
        <v>1670.3999999999999</v>
      </c>
      <c r="U44" s="26" t="s">
        <v>251</v>
      </c>
      <c r="V44" s="26" t="s">
        <v>249</v>
      </c>
      <c r="W44" s="46"/>
      <c r="X44" s="28">
        <f>X11</f>
        <v>10</v>
      </c>
      <c r="Z44" s="47">
        <v>799.5</v>
      </c>
      <c r="AA44" s="40">
        <f>AA11</f>
        <v>104</v>
      </c>
      <c r="AB44" s="40"/>
      <c r="AC44" s="27">
        <v>0</v>
      </c>
      <c r="AD44" s="31">
        <v>0</v>
      </c>
      <c r="AE44" s="26">
        <f t="shared" si="1"/>
        <v>903.5</v>
      </c>
      <c r="AF44" s="51" t="s">
        <v>159</v>
      </c>
      <c r="AG44" s="48">
        <f t="shared" si="2"/>
        <v>125.86</v>
      </c>
      <c r="AH44" s="49">
        <v>89.9</v>
      </c>
      <c r="AI44" s="40">
        <f t="shared" si="3"/>
        <v>98.890000000000015</v>
      </c>
      <c r="AJ44" s="28">
        <f t="shared" si="4"/>
        <v>107.88000000000001</v>
      </c>
      <c r="AK44" s="28">
        <f t="shared" si="5"/>
        <v>134.85000000000002</v>
      </c>
      <c r="AL44" s="28">
        <f t="shared" si="6"/>
        <v>94.39500000000001</v>
      </c>
      <c r="AM44" s="28">
        <f t="shared" si="7"/>
        <v>112.375</v>
      </c>
      <c r="AN44" s="28">
        <f t="shared" si="8"/>
        <v>125.86</v>
      </c>
    </row>
    <row r="45" spans="1:40" ht="24" customHeight="1">
      <c r="A45" s="50">
        <f t="shared" si="11"/>
        <v>34</v>
      </c>
      <c r="B45" s="51" t="s">
        <v>252</v>
      </c>
      <c r="C45" s="47">
        <v>8.5</v>
      </c>
      <c r="D45" s="75" t="s">
        <v>196</v>
      </c>
      <c r="F45" s="40">
        <v>1</v>
      </c>
      <c r="G45" s="38" t="s">
        <v>93</v>
      </c>
      <c r="H45" s="26" t="s">
        <v>94</v>
      </c>
      <c r="I45" s="40">
        <f>I36</f>
        <v>2765.84</v>
      </c>
      <c r="J45" s="26" t="s">
        <v>93</v>
      </c>
      <c r="K45" s="40">
        <f>(F45*I45)</f>
        <v>2765.84</v>
      </c>
      <c r="U45" s="26" t="s">
        <v>253</v>
      </c>
      <c r="W45" s="46"/>
      <c r="X45" s="28">
        <f>'lead  charge'!M10</f>
        <v>35</v>
      </c>
      <c r="Z45" s="47">
        <v>6282</v>
      </c>
      <c r="AA45" s="28">
        <f>AA41</f>
        <v>432.94999999999993</v>
      </c>
      <c r="AE45" s="26">
        <f t="shared" si="1"/>
        <v>6714.95</v>
      </c>
      <c r="AF45" s="51" t="s">
        <v>164</v>
      </c>
      <c r="AG45" s="48">
        <f t="shared" si="2"/>
        <v>247.79999999999998</v>
      </c>
      <c r="AH45" s="49">
        <v>177</v>
      </c>
      <c r="AI45" s="40">
        <f t="shared" si="3"/>
        <v>194.70000000000002</v>
      </c>
      <c r="AJ45" s="28">
        <f t="shared" si="4"/>
        <v>212.4</v>
      </c>
      <c r="AK45" s="28">
        <f t="shared" si="5"/>
        <v>265.5</v>
      </c>
      <c r="AM45" s="28">
        <f t="shared" si="7"/>
        <v>221.25</v>
      </c>
      <c r="AN45" s="28">
        <f t="shared" si="8"/>
        <v>247.79999999999998</v>
      </c>
    </row>
    <row r="46" spans="1:40" ht="24" customHeight="1">
      <c r="A46" s="50">
        <f t="shared" si="11"/>
        <v>35</v>
      </c>
      <c r="B46" s="51" t="s">
        <v>254</v>
      </c>
      <c r="C46" s="47">
        <v>10.199999999999999</v>
      </c>
      <c r="D46" s="75" t="s">
        <v>196</v>
      </c>
      <c r="F46" s="40">
        <v>1</v>
      </c>
      <c r="G46" s="38" t="s">
        <v>93</v>
      </c>
      <c r="H46" s="26" t="s">
        <v>99</v>
      </c>
      <c r="I46" s="40">
        <f>(C18)</f>
        <v>121.8</v>
      </c>
      <c r="J46" s="26" t="s">
        <v>93</v>
      </c>
      <c r="K46" s="40">
        <f>(F46*I46)</f>
        <v>121.8</v>
      </c>
      <c r="U46" s="26" t="s">
        <v>255</v>
      </c>
      <c r="V46" s="26" t="s">
        <v>89</v>
      </c>
      <c r="W46" s="46"/>
      <c r="X46" s="40">
        <f>'lead  charge'!D17</f>
        <v>0</v>
      </c>
      <c r="Y46" s="40"/>
      <c r="Z46" s="54">
        <v>1250</v>
      </c>
      <c r="AA46" s="40">
        <f>'lead  charge'!E17</f>
        <v>0</v>
      </c>
      <c r="AB46" s="40"/>
      <c r="AC46" s="27"/>
      <c r="AD46" s="31">
        <v>0</v>
      </c>
      <c r="AE46" s="26">
        <f t="shared" si="1"/>
        <v>1250</v>
      </c>
      <c r="AF46" s="51" t="s">
        <v>169</v>
      </c>
      <c r="AG46" s="48">
        <f t="shared" si="2"/>
        <v>247.79999999999998</v>
      </c>
      <c r="AH46" s="49">
        <f>AH45</f>
        <v>177</v>
      </c>
      <c r="AI46" s="40">
        <f t="shared" si="3"/>
        <v>194.70000000000002</v>
      </c>
      <c r="AJ46" s="28">
        <f t="shared" si="4"/>
        <v>212.4</v>
      </c>
      <c r="AK46" s="28">
        <f t="shared" si="5"/>
        <v>265.5</v>
      </c>
      <c r="AL46" s="28">
        <f>AH46*1.05</f>
        <v>185.85</v>
      </c>
      <c r="AM46" s="28">
        <f t="shared" si="7"/>
        <v>221.25</v>
      </c>
      <c r="AN46" s="28">
        <f t="shared" si="8"/>
        <v>247.79999999999998</v>
      </c>
    </row>
    <row r="47" spans="1:40" ht="24" customHeight="1">
      <c r="A47" s="50">
        <f t="shared" si="11"/>
        <v>36</v>
      </c>
      <c r="B47" s="51" t="s">
        <v>256</v>
      </c>
      <c r="C47" s="47">
        <v>13.8</v>
      </c>
      <c r="D47" s="75" t="s">
        <v>196</v>
      </c>
      <c r="G47" s="38" t="s">
        <v>106</v>
      </c>
      <c r="H47" s="26" t="s">
        <v>107</v>
      </c>
      <c r="I47" s="26" t="s">
        <v>27</v>
      </c>
      <c r="J47" s="26" t="s">
        <v>106</v>
      </c>
      <c r="K47" s="40">
        <v>0</v>
      </c>
      <c r="N47" s="26" t="s">
        <v>67</v>
      </c>
      <c r="O47" s="26" t="s">
        <v>257</v>
      </c>
      <c r="U47" s="26" t="s">
        <v>258</v>
      </c>
      <c r="V47" s="26" t="s">
        <v>89</v>
      </c>
      <c r="W47" s="46"/>
      <c r="X47" s="40">
        <f>X46</f>
        <v>0</v>
      </c>
      <c r="Y47" s="40"/>
      <c r="Z47" s="54">
        <f>Z46</f>
        <v>1250</v>
      </c>
      <c r="AA47" s="40">
        <f>AA46</f>
        <v>0</v>
      </c>
      <c r="AB47" s="40"/>
      <c r="AC47" s="27"/>
      <c r="AD47" s="31">
        <v>0</v>
      </c>
      <c r="AE47" s="26">
        <f t="shared" si="1"/>
        <v>1250</v>
      </c>
      <c r="AF47" s="26"/>
      <c r="AG47" s="48"/>
      <c r="AH47" s="49"/>
      <c r="AI47" s="40">
        <f t="shared" si="3"/>
        <v>0</v>
      </c>
      <c r="AJ47" s="28">
        <f t="shared" si="4"/>
        <v>0</v>
      </c>
      <c r="AK47" s="28">
        <f t="shared" si="5"/>
        <v>0</v>
      </c>
      <c r="AL47" s="28">
        <f>AH47*1.05</f>
        <v>0</v>
      </c>
      <c r="AM47" s="28">
        <f t="shared" si="7"/>
        <v>0</v>
      </c>
      <c r="AN47" s="28">
        <f t="shared" si="8"/>
        <v>0</v>
      </c>
    </row>
    <row r="48" spans="1:40" ht="24" customHeight="1">
      <c r="A48" s="50">
        <f t="shared" si="11"/>
        <v>37</v>
      </c>
      <c r="B48" s="51" t="s">
        <v>259</v>
      </c>
      <c r="C48" s="47">
        <v>17.7</v>
      </c>
      <c r="D48" s="49">
        <v>31</v>
      </c>
      <c r="K48" s="35" t="s">
        <v>48</v>
      </c>
      <c r="O48" s="26" t="s">
        <v>260</v>
      </c>
      <c r="U48" s="35" t="s">
        <v>48</v>
      </c>
      <c r="V48" s="35" t="s">
        <v>48</v>
      </c>
      <c r="W48" s="35" t="s">
        <v>48</v>
      </c>
      <c r="X48" s="35" t="s">
        <v>48</v>
      </c>
      <c r="Y48" s="35"/>
      <c r="Z48" s="35" t="s">
        <v>48</v>
      </c>
      <c r="AA48" s="35" t="s">
        <v>48</v>
      </c>
      <c r="AB48" s="35"/>
      <c r="AC48" s="35" t="s">
        <v>48</v>
      </c>
      <c r="AD48" s="35" t="s">
        <v>48</v>
      </c>
      <c r="AE48" s="35" t="s">
        <v>48</v>
      </c>
      <c r="AF48" s="35" t="s">
        <v>48</v>
      </c>
      <c r="AG48" s="48" t="str">
        <f>AI48</f>
        <v>-</v>
      </c>
      <c r="AH48" s="35" t="s">
        <v>48</v>
      </c>
      <c r="AI48" s="35" t="s">
        <v>48</v>
      </c>
      <c r="AJ48" s="35" t="s">
        <v>48</v>
      </c>
      <c r="AK48" s="35" t="s">
        <v>48</v>
      </c>
      <c r="AL48" s="35" t="s">
        <v>48</v>
      </c>
      <c r="AM48" s="35" t="s">
        <v>48</v>
      </c>
    </row>
    <row r="49" spans="1:47" ht="24" customHeight="1">
      <c r="A49" s="50">
        <f t="shared" si="11"/>
        <v>38</v>
      </c>
      <c r="B49" s="51" t="s">
        <v>261</v>
      </c>
      <c r="C49" s="47">
        <v>19.2</v>
      </c>
      <c r="D49" s="49">
        <v>21.8</v>
      </c>
      <c r="H49" s="26" t="s">
        <v>116</v>
      </c>
      <c r="K49" s="39">
        <f>SUM(K44:K47)</f>
        <v>4558.04</v>
      </c>
      <c r="O49" s="35" t="s">
        <v>48</v>
      </c>
      <c r="U49" s="28" t="s">
        <v>262</v>
      </c>
      <c r="AG49" s="48"/>
      <c r="AI49" s="40"/>
    </row>
    <row r="50" spans="1:47" ht="24" customHeight="1">
      <c r="A50" s="50">
        <f t="shared" si="11"/>
        <v>39</v>
      </c>
      <c r="B50" s="51" t="s">
        <v>263</v>
      </c>
      <c r="C50" s="47">
        <v>10</v>
      </c>
      <c r="D50" s="75" t="s">
        <v>196</v>
      </c>
      <c r="K50" s="35" t="s">
        <v>48</v>
      </c>
      <c r="M50" s="40">
        <v>9</v>
      </c>
      <c r="N50" s="26" t="s">
        <v>93</v>
      </c>
      <c r="O50" s="26" t="s">
        <v>260</v>
      </c>
      <c r="P50" s="40">
        <f>(C81)</f>
        <v>1756.85</v>
      </c>
      <c r="Q50" s="26" t="s">
        <v>93</v>
      </c>
      <c r="R50" s="40">
        <f>(M50*P50)</f>
        <v>15811.65</v>
      </c>
      <c r="AC50" s="26" t="s">
        <v>264</v>
      </c>
      <c r="AG50" s="48"/>
      <c r="AI50" s="40"/>
    </row>
    <row r="51" spans="1:47" ht="24" customHeight="1">
      <c r="A51" s="50">
        <f t="shared" si="11"/>
        <v>40</v>
      </c>
      <c r="B51" s="51" t="s">
        <v>265</v>
      </c>
      <c r="C51" s="47">
        <v>10.199999999999999</v>
      </c>
      <c r="D51" s="75" t="s">
        <v>196</v>
      </c>
      <c r="G51" s="38" t="s">
        <v>67</v>
      </c>
      <c r="H51" s="26" t="s">
        <v>266</v>
      </c>
      <c r="M51" s="40">
        <v>4.5</v>
      </c>
      <c r="N51" s="26" t="s">
        <v>93</v>
      </c>
      <c r="O51" s="26" t="s">
        <v>267</v>
      </c>
      <c r="P51" s="40">
        <f>(K77)</f>
        <v>3931.6400000000003</v>
      </c>
      <c r="Q51" s="26" t="s">
        <v>93</v>
      </c>
      <c r="R51" s="40">
        <f>(M51*P51)</f>
        <v>17692.38</v>
      </c>
      <c r="W51" s="26"/>
      <c r="AG51" s="48"/>
      <c r="AI51" s="26"/>
    </row>
    <row r="52" spans="1:47" ht="24" customHeight="1">
      <c r="A52" s="50">
        <f t="shared" si="11"/>
        <v>41</v>
      </c>
      <c r="B52" s="51" t="s">
        <v>268</v>
      </c>
      <c r="C52" s="47">
        <v>21.1</v>
      </c>
      <c r="D52" s="75" t="s">
        <v>196</v>
      </c>
      <c r="H52" s="35" t="s">
        <v>48</v>
      </c>
      <c r="M52" s="40">
        <v>1.8</v>
      </c>
      <c r="N52" s="26" t="s">
        <v>105</v>
      </c>
      <c r="O52" s="26" t="s">
        <v>269</v>
      </c>
      <c r="P52" s="40">
        <f>(C11)</f>
        <v>1005.1999999999999</v>
      </c>
      <c r="Q52" s="26" t="s">
        <v>105</v>
      </c>
      <c r="R52" s="40">
        <f>(M52*P52)</f>
        <v>1809.36</v>
      </c>
      <c r="AG52" s="48"/>
      <c r="AI52" s="26"/>
    </row>
    <row r="53" spans="1:47" ht="24" customHeight="1">
      <c r="A53" s="50">
        <f t="shared" si="11"/>
        <v>42</v>
      </c>
      <c r="B53" s="51" t="s">
        <v>270</v>
      </c>
      <c r="C53" s="47">
        <v>28.5</v>
      </c>
      <c r="D53" s="49">
        <v>62.4</v>
      </c>
      <c r="F53" s="40">
        <v>0.24</v>
      </c>
      <c r="G53" s="38" t="s">
        <v>84</v>
      </c>
      <c r="H53" s="26" t="s">
        <v>85</v>
      </c>
      <c r="I53" s="40">
        <f>(C67)</f>
        <v>5800</v>
      </c>
      <c r="J53" s="26" t="s">
        <v>84</v>
      </c>
      <c r="K53" s="40">
        <f>(F53*I53)</f>
        <v>1392</v>
      </c>
      <c r="M53" s="40">
        <v>17.7</v>
      </c>
      <c r="N53" s="26" t="s">
        <v>105</v>
      </c>
      <c r="O53" s="26" t="s">
        <v>271</v>
      </c>
      <c r="P53" s="40">
        <f>(C12)</f>
        <v>702.8</v>
      </c>
      <c r="Q53" s="26" t="s">
        <v>105</v>
      </c>
      <c r="R53" s="40">
        <f>(M53*P53)</f>
        <v>12439.56</v>
      </c>
      <c r="U53" s="28" t="s">
        <v>272</v>
      </c>
      <c r="V53" s="28" t="s">
        <v>273</v>
      </c>
      <c r="AA53" s="28" t="s">
        <v>274</v>
      </c>
      <c r="AG53" s="48"/>
      <c r="AI53" s="26"/>
    </row>
    <row r="54" spans="1:47" ht="24" customHeight="1">
      <c r="A54" s="50">
        <f t="shared" si="11"/>
        <v>43</v>
      </c>
      <c r="B54" s="51" t="s">
        <v>275</v>
      </c>
      <c r="C54" s="49">
        <v>32</v>
      </c>
      <c r="D54" s="49">
        <v>47.1</v>
      </c>
      <c r="F54" s="40">
        <v>1</v>
      </c>
      <c r="G54" s="38" t="s">
        <v>93</v>
      </c>
      <c r="H54" s="26" t="s">
        <v>94</v>
      </c>
      <c r="I54" s="40">
        <f>(C78)</f>
        <v>2765.84</v>
      </c>
      <c r="J54" s="26" t="s">
        <v>93</v>
      </c>
      <c r="K54" s="40">
        <f>(F54*I54)</f>
        <v>2765.84</v>
      </c>
      <c r="M54" s="40">
        <v>14.1</v>
      </c>
      <c r="N54" s="26" t="s">
        <v>105</v>
      </c>
      <c r="O54" s="26" t="s">
        <v>276</v>
      </c>
      <c r="P54" s="40">
        <f>(C13)</f>
        <v>576.79999999999995</v>
      </c>
      <c r="Q54" s="26" t="s">
        <v>105</v>
      </c>
      <c r="R54" s="40">
        <f>(M54*P54)</f>
        <v>8132.8799999999992</v>
      </c>
      <c r="AG54" s="48"/>
      <c r="AI54" s="26"/>
    </row>
    <row r="55" spans="1:47" ht="24" customHeight="1">
      <c r="A55" s="50">
        <f t="shared" si="11"/>
        <v>44</v>
      </c>
      <c r="B55" s="51" t="s">
        <v>277</v>
      </c>
      <c r="C55" s="47">
        <v>35.6</v>
      </c>
      <c r="D55" s="49">
        <v>37.4</v>
      </c>
      <c r="F55" s="40">
        <v>1</v>
      </c>
      <c r="G55" s="38" t="s">
        <v>93</v>
      </c>
      <c r="H55" s="26" t="s">
        <v>99</v>
      </c>
      <c r="I55" s="40">
        <f>(C18)</f>
        <v>121.8</v>
      </c>
      <c r="J55" s="26" t="s">
        <v>93</v>
      </c>
      <c r="K55" s="40">
        <f>(F55*I55)</f>
        <v>121.8</v>
      </c>
      <c r="N55" s="26" t="s">
        <v>106</v>
      </c>
      <c r="O55" s="26" t="s">
        <v>107</v>
      </c>
      <c r="Q55" s="26" t="s">
        <v>106</v>
      </c>
      <c r="R55" s="40">
        <v>0</v>
      </c>
      <c r="AG55" s="48"/>
    </row>
    <row r="56" spans="1:47" ht="24" customHeight="1">
      <c r="A56" s="50">
        <f t="shared" si="11"/>
        <v>45</v>
      </c>
      <c r="B56" s="51" t="s">
        <v>278</v>
      </c>
      <c r="C56" s="52">
        <v>12.1</v>
      </c>
      <c r="D56" s="51" t="s">
        <v>106</v>
      </c>
      <c r="G56" s="38" t="s">
        <v>106</v>
      </c>
      <c r="H56" s="26" t="s">
        <v>107</v>
      </c>
      <c r="I56" s="26" t="s">
        <v>27</v>
      </c>
      <c r="J56" s="26" t="s">
        <v>106</v>
      </c>
      <c r="K56" s="40">
        <v>0</v>
      </c>
      <c r="R56" s="35" t="s">
        <v>48</v>
      </c>
      <c r="AG56" s="48"/>
    </row>
    <row r="57" spans="1:47" ht="24" customHeight="1">
      <c r="A57" s="50">
        <f t="shared" si="11"/>
        <v>46</v>
      </c>
      <c r="B57" s="51" t="s">
        <v>279</v>
      </c>
      <c r="C57" s="52">
        <v>35</v>
      </c>
      <c r="D57" s="51" t="s">
        <v>106</v>
      </c>
      <c r="K57" s="35" t="s">
        <v>48</v>
      </c>
      <c r="O57" s="26" t="s">
        <v>280</v>
      </c>
      <c r="R57" s="40">
        <f>SUM(R50:R55)</f>
        <v>55885.829999999994</v>
      </c>
      <c r="AG57" s="48"/>
      <c r="AI57" s="26"/>
    </row>
    <row r="58" spans="1:47" ht="24" customHeight="1">
      <c r="A58" s="50">
        <f t="shared" si="11"/>
        <v>47</v>
      </c>
      <c r="B58" s="51" t="s">
        <v>281</v>
      </c>
      <c r="C58" s="52">
        <v>15</v>
      </c>
      <c r="D58" s="51" t="s">
        <v>106</v>
      </c>
      <c r="H58" s="26" t="s">
        <v>116</v>
      </c>
      <c r="K58" s="39">
        <f>SUM(K53:K56)</f>
        <v>4279.6400000000003</v>
      </c>
      <c r="R58" s="35" t="s">
        <v>48</v>
      </c>
      <c r="AG58" s="48"/>
      <c r="AI58" s="26"/>
    </row>
    <row r="59" spans="1:47" ht="24" customHeight="1">
      <c r="A59" s="66"/>
      <c r="B59" s="66"/>
      <c r="C59" s="66"/>
      <c r="D59" s="66"/>
      <c r="F59" s="26" t="s">
        <v>27</v>
      </c>
      <c r="AG59" s="48"/>
      <c r="AR59" s="41" t="s">
        <v>282</v>
      </c>
    </row>
    <row r="60" spans="1:47" ht="24" customHeight="1">
      <c r="A60" s="50">
        <f>(A58+1)</f>
        <v>48</v>
      </c>
      <c r="B60" s="51" t="s">
        <v>283</v>
      </c>
      <c r="C60" s="47">
        <v>24</v>
      </c>
      <c r="D60" s="51" t="s">
        <v>284</v>
      </c>
      <c r="K60" s="35" t="s">
        <v>48</v>
      </c>
      <c r="O60" s="26" t="s">
        <v>201</v>
      </c>
      <c r="R60" s="40">
        <f>(R57/10)</f>
        <v>5588.5829999999996</v>
      </c>
      <c r="AG60" s="48"/>
      <c r="AI60" s="26"/>
      <c r="AP60" s="77">
        <v>6.5</v>
      </c>
      <c r="AQ60" s="38" t="s">
        <v>67</v>
      </c>
      <c r="AR60" s="78" t="s">
        <v>285</v>
      </c>
      <c r="AT60" s="31"/>
    </row>
    <row r="61" spans="1:47" ht="24" customHeight="1">
      <c r="A61" s="50">
        <f t="shared" ref="A61:A91" si="12">(A60+1)</f>
        <v>49</v>
      </c>
      <c r="B61" s="51" t="s">
        <v>286</v>
      </c>
      <c r="C61" s="52">
        <f>AG29</f>
        <v>117.6</v>
      </c>
      <c r="D61" s="52">
        <f>AG36</f>
        <v>175.28</v>
      </c>
      <c r="G61" s="38" t="s">
        <v>67</v>
      </c>
      <c r="H61" s="26" t="s">
        <v>287</v>
      </c>
      <c r="R61" s="35" t="s">
        <v>41</v>
      </c>
      <c r="AG61" s="48"/>
      <c r="AI61" s="26"/>
      <c r="AQ61" s="29"/>
      <c r="AR61" s="78" t="s">
        <v>288</v>
      </c>
      <c r="AT61" s="31"/>
    </row>
    <row r="62" spans="1:47" ht="24" customHeight="1">
      <c r="A62" s="50">
        <f t="shared" si="12"/>
        <v>50</v>
      </c>
      <c r="B62" s="51" t="s">
        <v>289</v>
      </c>
      <c r="C62" s="47">
        <v>546</v>
      </c>
      <c r="D62" s="51" t="s">
        <v>105</v>
      </c>
      <c r="H62" s="35" t="s">
        <v>48</v>
      </c>
      <c r="N62" s="26" t="s">
        <v>67</v>
      </c>
      <c r="O62" s="26" t="s">
        <v>290</v>
      </c>
      <c r="AG62" s="48"/>
      <c r="AI62" s="26"/>
      <c r="AQ62" s="29"/>
      <c r="AR62" s="35" t="s">
        <v>48</v>
      </c>
      <c r="AT62" s="31"/>
    </row>
    <row r="63" spans="1:47" ht="24" customHeight="1">
      <c r="A63" s="50">
        <f t="shared" si="12"/>
        <v>51</v>
      </c>
      <c r="B63" s="79" t="s">
        <v>291</v>
      </c>
      <c r="C63" s="52">
        <v>42</v>
      </c>
      <c r="D63" s="51" t="s">
        <v>106</v>
      </c>
      <c r="F63" s="76">
        <v>0.20599999999999999</v>
      </c>
      <c r="G63" s="38" t="s">
        <v>84</v>
      </c>
      <c r="H63" s="26" t="s">
        <v>85</v>
      </c>
      <c r="I63" s="40">
        <f>(C67)</f>
        <v>5800</v>
      </c>
      <c r="J63" s="26" t="s">
        <v>84</v>
      </c>
      <c r="K63" s="40">
        <f>(F63*I63)</f>
        <v>1194.8</v>
      </c>
      <c r="O63" s="26" t="s">
        <v>292</v>
      </c>
      <c r="AD63" s="80"/>
      <c r="AG63" s="48"/>
      <c r="AI63" s="26"/>
      <c r="AP63" s="40">
        <v>1300</v>
      </c>
      <c r="AQ63" s="38" t="s">
        <v>293</v>
      </c>
      <c r="AR63" s="40" t="str">
        <f>AR61</f>
        <v>Bricks of size 23x11x7 cm</v>
      </c>
      <c r="AS63" s="40">
        <f>AE45</f>
        <v>6714.95</v>
      </c>
      <c r="AT63" s="26" t="s">
        <v>294</v>
      </c>
      <c r="AU63" s="40">
        <f>(AP63*AS63)/1000</f>
        <v>8729.4349999999995</v>
      </c>
    </row>
    <row r="64" spans="1:47" ht="24" customHeight="1">
      <c r="A64" s="50">
        <f t="shared" si="12"/>
        <v>52</v>
      </c>
      <c r="B64" s="51" t="s">
        <v>295</v>
      </c>
      <c r="C64" s="47">
        <v>211</v>
      </c>
      <c r="D64" s="51" t="s">
        <v>93</v>
      </c>
      <c r="F64" s="40">
        <v>1</v>
      </c>
      <c r="G64" s="38" t="s">
        <v>93</v>
      </c>
      <c r="H64" s="26" t="s">
        <v>94</v>
      </c>
      <c r="I64" s="40">
        <f>(C78)</f>
        <v>2765.84</v>
      </c>
      <c r="J64" s="26" t="s">
        <v>93</v>
      </c>
      <c r="K64" s="40">
        <f>(F64*I64)</f>
        <v>2765.84</v>
      </c>
      <c r="O64" s="35" t="s">
        <v>48</v>
      </c>
      <c r="AG64" s="48"/>
      <c r="AI64" s="26"/>
      <c r="AP64" s="76">
        <v>0.70799999999999996</v>
      </c>
      <c r="AQ64" s="38" t="s">
        <v>93</v>
      </c>
      <c r="AR64" s="26" t="s">
        <v>245</v>
      </c>
      <c r="AS64" s="40">
        <f>K49</f>
        <v>4558.04</v>
      </c>
      <c r="AT64" s="26" t="s">
        <v>93</v>
      </c>
      <c r="AU64" s="40">
        <f>(AP64*AS64)</f>
        <v>3227.0923199999997</v>
      </c>
    </row>
    <row r="65" spans="1:47" ht="24" customHeight="1">
      <c r="A65" s="50">
        <f t="shared" si="12"/>
        <v>53</v>
      </c>
      <c r="B65" s="51" t="s">
        <v>296</v>
      </c>
      <c r="C65" s="81">
        <v>304</v>
      </c>
      <c r="D65" s="51" t="s">
        <v>297</v>
      </c>
      <c r="F65" s="40">
        <v>1</v>
      </c>
      <c r="G65" s="38" t="s">
        <v>93</v>
      </c>
      <c r="H65" s="26" t="s">
        <v>99</v>
      </c>
      <c r="I65" s="40">
        <f>(C18)</f>
        <v>121.8</v>
      </c>
      <c r="J65" s="26" t="s">
        <v>93</v>
      </c>
      <c r="K65" s="40">
        <f>(F65*I65)</f>
        <v>121.8</v>
      </c>
      <c r="M65" s="40">
        <v>9</v>
      </c>
      <c r="N65" s="26" t="s">
        <v>93</v>
      </c>
      <c r="O65" s="26" t="s">
        <v>292</v>
      </c>
      <c r="P65" s="40">
        <f>(C73)</f>
        <v>2923.8</v>
      </c>
      <c r="Q65" s="26" t="s">
        <v>93</v>
      </c>
      <c r="R65" s="40">
        <f>(M65*P65)</f>
        <v>26314.2</v>
      </c>
      <c r="AG65" s="48"/>
      <c r="AI65" s="26"/>
      <c r="AP65" s="40">
        <v>1</v>
      </c>
      <c r="AQ65" s="38" t="s">
        <v>105</v>
      </c>
      <c r="AR65" s="26" t="s">
        <v>298</v>
      </c>
      <c r="AS65" s="40">
        <f>V313</f>
        <v>1076.5999999999999</v>
      </c>
      <c r="AT65" s="26" t="s">
        <v>105</v>
      </c>
      <c r="AU65" s="40">
        <f>(AP65*AS65)</f>
        <v>1076.5999999999999</v>
      </c>
    </row>
    <row r="66" spans="1:47" ht="24" customHeight="1">
      <c r="A66" s="50">
        <f t="shared" si="12"/>
        <v>54</v>
      </c>
      <c r="B66" s="51" t="s">
        <v>299</v>
      </c>
      <c r="C66" s="52">
        <f>AG18</f>
        <v>923.99999999999989</v>
      </c>
      <c r="D66" s="51" t="s">
        <v>105</v>
      </c>
      <c r="G66" s="38" t="s">
        <v>106</v>
      </c>
      <c r="H66" s="26" t="s">
        <v>107</v>
      </c>
      <c r="I66" s="26" t="s">
        <v>27</v>
      </c>
      <c r="J66" s="26" t="s">
        <v>106</v>
      </c>
      <c r="K66" s="40">
        <v>0</v>
      </c>
      <c r="M66" s="40">
        <v>4.5</v>
      </c>
      <c r="N66" s="26" t="s">
        <v>93</v>
      </c>
      <c r="O66" s="26" t="s">
        <v>125</v>
      </c>
      <c r="P66" s="40">
        <f>(K23)</f>
        <v>7063.64</v>
      </c>
      <c r="Q66" s="26" t="s">
        <v>93</v>
      </c>
      <c r="R66" s="40">
        <f>(M66*P66)</f>
        <v>31786.38</v>
      </c>
      <c r="AG66" s="48"/>
      <c r="AI66" s="26"/>
      <c r="AP66" s="40">
        <v>3</v>
      </c>
      <c r="AQ66" s="38" t="s">
        <v>105</v>
      </c>
      <c r="AR66" s="26" t="s">
        <v>269</v>
      </c>
      <c r="AS66" s="40">
        <f>V314</f>
        <v>1005.1999999999999</v>
      </c>
      <c r="AT66" s="26" t="s">
        <v>105</v>
      </c>
      <c r="AU66" s="40">
        <f>(AP66*AS66)</f>
        <v>3015.6</v>
      </c>
    </row>
    <row r="67" spans="1:47" ht="24" customHeight="1">
      <c r="A67" s="50">
        <f t="shared" si="12"/>
        <v>55</v>
      </c>
      <c r="B67" s="51" t="s">
        <v>85</v>
      </c>
      <c r="C67" s="52">
        <f>AE31</f>
        <v>5800</v>
      </c>
      <c r="D67" s="51" t="s">
        <v>84</v>
      </c>
      <c r="K67" s="35" t="s">
        <v>48</v>
      </c>
      <c r="M67" s="40">
        <v>1.8</v>
      </c>
      <c r="N67" s="26" t="s">
        <v>105</v>
      </c>
      <c r="O67" s="26" t="s">
        <v>269</v>
      </c>
      <c r="P67" s="40">
        <f>(C11)</f>
        <v>1005.1999999999999</v>
      </c>
      <c r="Q67" s="26" t="s">
        <v>105</v>
      </c>
      <c r="R67" s="40">
        <f>(M67*P67)</f>
        <v>1809.36</v>
      </c>
      <c r="AG67" s="48"/>
      <c r="AI67" s="26"/>
      <c r="AP67" s="40">
        <v>2</v>
      </c>
      <c r="AQ67" s="38" t="s">
        <v>105</v>
      </c>
      <c r="AR67" s="26" t="s">
        <v>271</v>
      </c>
      <c r="AS67" s="40">
        <f>V315</f>
        <v>702.8</v>
      </c>
      <c r="AT67" s="26" t="s">
        <v>105</v>
      </c>
      <c r="AU67" s="40">
        <f>(AP67*AS67)</f>
        <v>1405.6</v>
      </c>
    </row>
    <row r="68" spans="1:47" ht="24" customHeight="1">
      <c r="A68" s="50">
        <f t="shared" si="12"/>
        <v>56</v>
      </c>
      <c r="B68" s="51" t="s">
        <v>300</v>
      </c>
      <c r="C68" s="82">
        <f t="shared" ref="C68:C74" si="13">AE9</f>
        <v>1962.8</v>
      </c>
      <c r="D68" s="51" t="s">
        <v>93</v>
      </c>
      <c r="H68" s="26" t="s">
        <v>116</v>
      </c>
      <c r="K68" s="39">
        <f>SUM(K63:K66)</f>
        <v>4082.4400000000005</v>
      </c>
      <c r="M68" s="40">
        <v>17.7</v>
      </c>
      <c r="N68" s="26" t="s">
        <v>105</v>
      </c>
      <c r="O68" s="26" t="s">
        <v>271</v>
      </c>
      <c r="P68" s="40">
        <f>(C12)</f>
        <v>702.8</v>
      </c>
      <c r="Q68" s="26" t="s">
        <v>105</v>
      </c>
      <c r="R68" s="40">
        <f>(M68*P68)</f>
        <v>12439.56</v>
      </c>
      <c r="AG68" s="48"/>
      <c r="AI68" s="26"/>
      <c r="AP68" s="40">
        <v>6</v>
      </c>
      <c r="AQ68" s="38" t="s">
        <v>105</v>
      </c>
      <c r="AR68" s="26" t="s">
        <v>276</v>
      </c>
      <c r="AS68" s="40">
        <f>V316</f>
        <v>576.79999999999995</v>
      </c>
      <c r="AT68" s="26" t="s">
        <v>105</v>
      </c>
      <c r="AU68" s="40">
        <f>(AP68*AS68)</f>
        <v>3460.7999999999997</v>
      </c>
    </row>
    <row r="69" spans="1:47" ht="24" customHeight="1">
      <c r="A69" s="50">
        <f t="shared" si="12"/>
        <v>57</v>
      </c>
      <c r="B69" s="51" t="s">
        <v>301</v>
      </c>
      <c r="C69" s="52">
        <f t="shared" si="13"/>
        <v>2155.8000000000002</v>
      </c>
      <c r="D69" s="51" t="s">
        <v>93</v>
      </c>
      <c r="K69" s="35" t="s">
        <v>48</v>
      </c>
      <c r="M69" s="40">
        <v>14.1</v>
      </c>
      <c r="N69" s="26" t="s">
        <v>105</v>
      </c>
      <c r="O69" s="26" t="s">
        <v>276</v>
      </c>
      <c r="P69" s="40">
        <f>(C13)</f>
        <v>576.79999999999995</v>
      </c>
      <c r="Q69" s="26" t="s">
        <v>105</v>
      </c>
      <c r="R69" s="40">
        <f>(M69*P69)</f>
        <v>8132.8799999999992</v>
      </c>
      <c r="AG69" s="48"/>
      <c r="AI69" s="26"/>
      <c r="AQ69" s="38" t="s">
        <v>106</v>
      </c>
      <c r="AR69" s="26" t="s">
        <v>107</v>
      </c>
      <c r="AT69" s="26" t="s">
        <v>106</v>
      </c>
      <c r="AU69" s="40">
        <v>0</v>
      </c>
    </row>
    <row r="70" spans="1:47" ht="24" customHeight="1">
      <c r="A70" s="50">
        <f t="shared" si="12"/>
        <v>58</v>
      </c>
      <c r="B70" s="51" t="s">
        <v>302</v>
      </c>
      <c r="C70" s="52">
        <f t="shared" si="13"/>
        <v>2252.4699999999998</v>
      </c>
      <c r="D70" s="51" t="s">
        <v>93</v>
      </c>
      <c r="G70" s="38" t="s">
        <v>67</v>
      </c>
      <c r="H70" s="26" t="s">
        <v>267</v>
      </c>
      <c r="N70" s="26" t="s">
        <v>106</v>
      </c>
      <c r="O70" s="26" t="s">
        <v>107</v>
      </c>
      <c r="Q70" s="26" t="s">
        <v>106</v>
      </c>
      <c r="R70" s="40">
        <v>0</v>
      </c>
      <c r="AG70" s="48"/>
      <c r="AI70" s="26"/>
      <c r="AQ70" s="29"/>
      <c r="AT70" s="31"/>
      <c r="AU70" s="35" t="s">
        <v>48</v>
      </c>
    </row>
    <row r="71" spans="1:47" ht="24" customHeight="1">
      <c r="A71" s="50">
        <f t="shared" si="12"/>
        <v>59</v>
      </c>
      <c r="B71" s="51" t="s">
        <v>303</v>
      </c>
      <c r="C71" s="52">
        <f t="shared" si="13"/>
        <v>2479.8000000000002</v>
      </c>
      <c r="D71" s="51" t="s">
        <v>93</v>
      </c>
      <c r="H71" s="35" t="s">
        <v>48</v>
      </c>
      <c r="R71" s="35" t="s">
        <v>48</v>
      </c>
      <c r="AG71" s="48"/>
      <c r="AI71" s="26"/>
      <c r="AQ71" s="29"/>
      <c r="AR71" s="26" t="s">
        <v>304</v>
      </c>
      <c r="AT71" s="31"/>
      <c r="AU71" s="40">
        <f>SUM(AU63:AU69)</f>
        <v>20915.12732</v>
      </c>
    </row>
    <row r="72" spans="1:47" ht="24" customHeight="1">
      <c r="A72" s="50">
        <f t="shared" si="12"/>
        <v>60</v>
      </c>
      <c r="B72" s="51" t="s">
        <v>305</v>
      </c>
      <c r="C72" s="52">
        <f t="shared" si="13"/>
        <v>2822.8</v>
      </c>
      <c r="D72" s="51" t="s">
        <v>93</v>
      </c>
      <c r="F72" s="40">
        <v>0.18</v>
      </c>
      <c r="G72" s="38" t="s">
        <v>84</v>
      </c>
      <c r="H72" s="26" t="s">
        <v>85</v>
      </c>
      <c r="I72" s="40">
        <f>(C67)</f>
        <v>5800</v>
      </c>
      <c r="J72" s="26" t="s">
        <v>84</v>
      </c>
      <c r="K72" s="40">
        <f>(F72*I72)</f>
        <v>1044</v>
      </c>
      <c r="O72" s="26" t="s">
        <v>280</v>
      </c>
      <c r="R72" s="40">
        <f>SUM(R65:R70)</f>
        <v>80482.38</v>
      </c>
      <c r="AG72" s="48"/>
      <c r="AI72" s="26"/>
      <c r="AQ72" s="29"/>
      <c r="AT72" s="31"/>
      <c r="AU72" s="35" t="s">
        <v>48</v>
      </c>
    </row>
    <row r="73" spans="1:47" ht="24" customHeight="1">
      <c r="A73" s="50">
        <f t="shared" si="12"/>
        <v>61</v>
      </c>
      <c r="B73" s="51" t="s">
        <v>306</v>
      </c>
      <c r="C73" s="52">
        <f t="shared" si="13"/>
        <v>2923.8</v>
      </c>
      <c r="D73" s="51" t="s">
        <v>93</v>
      </c>
      <c r="F73" s="40">
        <v>1</v>
      </c>
      <c r="G73" s="38" t="s">
        <v>93</v>
      </c>
      <c r="H73" s="26" t="s">
        <v>94</v>
      </c>
      <c r="I73" s="40">
        <f>(C78)</f>
        <v>2765.84</v>
      </c>
      <c r="J73" s="26" t="s">
        <v>93</v>
      </c>
      <c r="K73" s="40">
        <f>(F73*I73)</f>
        <v>2765.84</v>
      </c>
      <c r="R73" s="35" t="s">
        <v>48</v>
      </c>
      <c r="AG73" s="48"/>
      <c r="AI73" s="26"/>
      <c r="AQ73" s="29"/>
      <c r="AR73" s="42" t="s">
        <v>201</v>
      </c>
      <c r="AT73" s="31"/>
      <c r="AU73" s="39">
        <f>(AU71/2.83168)</f>
        <v>7386.1196604136057</v>
      </c>
    </row>
    <row r="74" spans="1:47" ht="24" customHeight="1">
      <c r="A74" s="50">
        <f t="shared" si="12"/>
        <v>62</v>
      </c>
      <c r="B74" s="51" t="s">
        <v>307</v>
      </c>
      <c r="C74" s="52">
        <f t="shared" si="13"/>
        <v>2529.8000000000002</v>
      </c>
      <c r="D74" s="51" t="s">
        <v>93</v>
      </c>
      <c r="F74" s="40">
        <v>1</v>
      </c>
      <c r="G74" s="38" t="s">
        <v>93</v>
      </c>
      <c r="H74" s="26" t="s">
        <v>99</v>
      </c>
      <c r="I74" s="40">
        <f>(C18)</f>
        <v>121.8</v>
      </c>
      <c r="J74" s="26" t="s">
        <v>93</v>
      </c>
      <c r="K74" s="40">
        <f>(F74*I74)</f>
        <v>121.8</v>
      </c>
      <c r="O74" s="26" t="s">
        <v>201</v>
      </c>
      <c r="R74" s="40">
        <f>(R72/10)</f>
        <v>8048.2380000000003</v>
      </c>
      <c r="AG74" s="48"/>
      <c r="AI74" s="26"/>
      <c r="AQ74" s="29"/>
      <c r="AT74" s="31"/>
      <c r="AU74" s="35" t="s">
        <v>41</v>
      </c>
    </row>
    <row r="75" spans="1:47" ht="24" customHeight="1">
      <c r="A75" s="50">
        <f t="shared" si="12"/>
        <v>63</v>
      </c>
      <c r="B75" s="51" t="s">
        <v>308</v>
      </c>
      <c r="C75" s="63">
        <v>175</v>
      </c>
      <c r="D75" s="51" t="s">
        <v>67</v>
      </c>
      <c r="G75" s="38" t="s">
        <v>106</v>
      </c>
      <c r="H75" s="26" t="s">
        <v>107</v>
      </c>
      <c r="I75" s="26" t="s">
        <v>27</v>
      </c>
      <c r="J75" s="26" t="s">
        <v>106</v>
      </c>
      <c r="K75" s="40">
        <v>0</v>
      </c>
      <c r="R75" s="35" t="s">
        <v>41</v>
      </c>
      <c r="AG75" s="48"/>
      <c r="AI75" s="26"/>
      <c r="AQ75" s="29"/>
      <c r="AR75" s="26" t="s">
        <v>309</v>
      </c>
      <c r="AT75" s="31"/>
      <c r="AU75" s="40">
        <f>AU73+C19</f>
        <v>7468.9996604136059</v>
      </c>
    </row>
    <row r="76" spans="1:47" ht="24" customHeight="1">
      <c r="A76" s="50">
        <f t="shared" si="12"/>
        <v>64</v>
      </c>
      <c r="B76" s="51" t="s">
        <v>310</v>
      </c>
      <c r="C76" s="63">
        <v>460</v>
      </c>
      <c r="D76" s="73">
        <v>290</v>
      </c>
      <c r="E76" s="28" t="s">
        <v>311</v>
      </c>
      <c r="K76" s="35" t="s">
        <v>48</v>
      </c>
      <c r="N76" s="26" t="s">
        <v>67</v>
      </c>
      <c r="O76" s="26" t="s">
        <v>312</v>
      </c>
      <c r="AG76" s="48"/>
      <c r="AI76" s="26"/>
      <c r="AQ76" s="29"/>
      <c r="AR76" s="26" t="s">
        <v>313</v>
      </c>
      <c r="AT76" s="31"/>
      <c r="AU76" s="40">
        <f>AU75+C20</f>
        <v>7636.0196604136054</v>
      </c>
    </row>
    <row r="77" spans="1:47" ht="24" customHeight="1">
      <c r="A77" s="50">
        <f t="shared" si="12"/>
        <v>65</v>
      </c>
      <c r="B77" s="51" t="s">
        <v>314</v>
      </c>
      <c r="C77" s="52">
        <f>AE34</f>
        <v>5424.65</v>
      </c>
      <c r="D77" s="51" t="s">
        <v>93</v>
      </c>
      <c r="H77" s="26" t="s">
        <v>116</v>
      </c>
      <c r="K77" s="39">
        <f>SUM(K72:K75)</f>
        <v>3931.6400000000003</v>
      </c>
      <c r="O77" s="26" t="s">
        <v>315</v>
      </c>
      <c r="AG77" s="48"/>
      <c r="AI77" s="26"/>
      <c r="AQ77" s="29"/>
      <c r="AR77" s="26" t="s">
        <v>316</v>
      </c>
      <c r="AT77" s="31"/>
      <c r="AU77" s="40">
        <f>AU76+C20</f>
        <v>7803.0396604136058</v>
      </c>
    </row>
    <row r="78" spans="1:47" ht="24" customHeight="1">
      <c r="A78" s="50">
        <f t="shared" si="12"/>
        <v>66</v>
      </c>
      <c r="B78" s="51" t="s">
        <v>317</v>
      </c>
      <c r="C78" s="52">
        <f t="shared" ref="C78:C91" si="14">AE16</f>
        <v>2765.84</v>
      </c>
      <c r="D78" s="51" t="s">
        <v>93</v>
      </c>
      <c r="K78" s="35" t="s">
        <v>48</v>
      </c>
      <c r="O78" s="35" t="s">
        <v>48</v>
      </c>
      <c r="AG78" s="48"/>
      <c r="AI78" s="26"/>
      <c r="AQ78" s="29"/>
      <c r="AR78" s="26" t="s">
        <v>318</v>
      </c>
      <c r="AT78" s="31"/>
      <c r="AU78" s="40">
        <f>AU77+C20</f>
        <v>7970.0596604136063</v>
      </c>
    </row>
    <row r="79" spans="1:47" ht="24" customHeight="1">
      <c r="A79" s="50">
        <f t="shared" si="12"/>
        <v>67</v>
      </c>
      <c r="B79" s="51" t="s">
        <v>319</v>
      </c>
      <c r="C79" s="52">
        <f t="shared" si="14"/>
        <v>2765.84</v>
      </c>
      <c r="D79" s="51" t="s">
        <v>93</v>
      </c>
      <c r="F79" s="77">
        <v>1.1000000000000001</v>
      </c>
      <c r="G79" s="38" t="s">
        <v>27</v>
      </c>
      <c r="H79" s="26" t="s">
        <v>320</v>
      </c>
      <c r="M79" s="40">
        <v>4600</v>
      </c>
      <c r="N79" s="26" t="s">
        <v>293</v>
      </c>
      <c r="O79" s="26" t="s">
        <v>321</v>
      </c>
      <c r="P79" s="40">
        <f>AE41</f>
        <v>8499.4500000000007</v>
      </c>
      <c r="Q79" s="26" t="s">
        <v>294</v>
      </c>
      <c r="R79" s="40">
        <f>(M79*P79)/1000</f>
        <v>39097.47</v>
      </c>
      <c r="S79" s="83">
        <v>1.1000000000000001</v>
      </c>
      <c r="T79" s="38" t="s">
        <v>27</v>
      </c>
      <c r="U79" s="30" t="s">
        <v>322</v>
      </c>
      <c r="W79" s="31"/>
      <c r="AG79" s="48"/>
      <c r="AI79" s="26"/>
      <c r="AQ79" s="29"/>
      <c r="AR79" s="26" t="s">
        <v>323</v>
      </c>
      <c r="AT79" s="31"/>
      <c r="AU79" s="40">
        <f>AU78+C20</f>
        <v>8137.0796604136067</v>
      </c>
    </row>
    <row r="80" spans="1:47" ht="24" customHeight="1">
      <c r="A80" s="50">
        <f t="shared" si="12"/>
        <v>68</v>
      </c>
      <c r="B80" s="51" t="s">
        <v>324</v>
      </c>
      <c r="C80" s="52">
        <f t="shared" si="14"/>
        <v>6767.65</v>
      </c>
      <c r="D80" s="51" t="s">
        <v>325</v>
      </c>
      <c r="F80" s="84" t="s">
        <v>27</v>
      </c>
      <c r="H80" s="26" t="s">
        <v>326</v>
      </c>
      <c r="M80" s="40">
        <v>2.5</v>
      </c>
      <c r="N80" s="26" t="s">
        <v>93</v>
      </c>
      <c r="O80" s="26" t="s">
        <v>245</v>
      </c>
      <c r="P80" s="40">
        <f>(K49)</f>
        <v>4558.04</v>
      </c>
      <c r="Q80" s="26" t="s">
        <v>93</v>
      </c>
      <c r="R80" s="40">
        <f>(M80*P80)</f>
        <v>11395.1</v>
      </c>
      <c r="S80" s="85" t="s">
        <v>27</v>
      </c>
      <c r="T80" s="29"/>
      <c r="U80" s="26" t="s">
        <v>326</v>
      </c>
      <c r="W80" s="31"/>
      <c r="AG80" s="48"/>
      <c r="AI80" s="26"/>
      <c r="AS80" s="47"/>
      <c r="AU80" s="26"/>
    </row>
    <row r="81" spans="1:47" ht="24" customHeight="1">
      <c r="A81" s="50">
        <f t="shared" si="12"/>
        <v>69</v>
      </c>
      <c r="B81" s="51" t="s">
        <v>327</v>
      </c>
      <c r="C81" s="52">
        <f t="shared" si="14"/>
        <v>1756.85</v>
      </c>
      <c r="D81" s="51" t="s">
        <v>93</v>
      </c>
      <c r="F81" s="40">
        <v>10</v>
      </c>
      <c r="G81" s="38" t="s">
        <v>93</v>
      </c>
      <c r="H81" s="26" t="s">
        <v>328</v>
      </c>
      <c r="I81" s="40">
        <f>(C61)</f>
        <v>117.6</v>
      </c>
      <c r="J81" s="26" t="s">
        <v>93</v>
      </c>
      <c r="K81" s="40">
        <f>(F81*I81)</f>
        <v>1176</v>
      </c>
      <c r="M81" s="40">
        <v>3.5</v>
      </c>
      <c r="N81" s="26" t="s">
        <v>105</v>
      </c>
      <c r="O81" s="26" t="s">
        <v>298</v>
      </c>
      <c r="P81" s="40">
        <f>(C10)</f>
        <v>1076.5999999999999</v>
      </c>
      <c r="Q81" s="26" t="s">
        <v>105</v>
      </c>
      <c r="R81" s="40">
        <f>(M81*P81)</f>
        <v>3768.0999999999995</v>
      </c>
      <c r="S81" s="76">
        <v>10</v>
      </c>
      <c r="T81" s="38" t="s">
        <v>93</v>
      </c>
      <c r="U81" s="26" t="s">
        <v>328</v>
      </c>
      <c r="V81" s="40">
        <f>AG39</f>
        <v>78.539999999999992</v>
      </c>
      <c r="W81" s="26" t="s">
        <v>93</v>
      </c>
      <c r="X81" s="40">
        <f>(S81*V81)</f>
        <v>785.39999999999986</v>
      </c>
      <c r="Y81" s="40"/>
      <c r="AG81" s="48"/>
      <c r="AI81" s="26"/>
      <c r="AS81" s="47"/>
      <c r="AU81" s="26"/>
    </row>
    <row r="82" spans="1:47" ht="24" customHeight="1">
      <c r="A82" s="50">
        <f t="shared" si="12"/>
        <v>70</v>
      </c>
      <c r="B82" s="51" t="s">
        <v>329</v>
      </c>
      <c r="C82" s="52">
        <f t="shared" si="14"/>
        <v>1833.85</v>
      </c>
      <c r="D82" s="51" t="s">
        <v>93</v>
      </c>
      <c r="F82" s="40">
        <v>10</v>
      </c>
      <c r="G82" s="38" t="s">
        <v>93</v>
      </c>
      <c r="H82" s="26" t="s">
        <v>330</v>
      </c>
      <c r="I82" s="40">
        <f>(C61)</f>
        <v>117.6</v>
      </c>
      <c r="J82" s="26" t="s">
        <v>93</v>
      </c>
      <c r="K82" s="40">
        <f>(F82*I82)</f>
        <v>1176</v>
      </c>
      <c r="L82" s="28">
        <f>I82+I81</f>
        <v>235.2</v>
      </c>
      <c r="M82" s="40">
        <v>10.6</v>
      </c>
      <c r="N82" s="26" t="s">
        <v>105</v>
      </c>
      <c r="O82" s="26" t="s">
        <v>269</v>
      </c>
      <c r="P82" s="40">
        <f>(C11)</f>
        <v>1005.1999999999999</v>
      </c>
      <c r="Q82" s="26" t="s">
        <v>105</v>
      </c>
      <c r="R82" s="40">
        <f>(M82*P82)</f>
        <v>10655.119999999999</v>
      </c>
      <c r="S82" s="76">
        <v>10</v>
      </c>
      <c r="T82" s="38" t="s">
        <v>93</v>
      </c>
      <c r="U82" s="26" t="s">
        <v>330</v>
      </c>
      <c r="V82" s="40">
        <f>V81</f>
        <v>78.539999999999992</v>
      </c>
      <c r="W82" s="26" t="s">
        <v>93</v>
      </c>
      <c r="X82" s="40">
        <f>(S82*V82)</f>
        <v>785.39999999999986</v>
      </c>
      <c r="Y82" s="40"/>
      <c r="AG82" s="48"/>
      <c r="AI82" s="26"/>
      <c r="AS82" s="47"/>
      <c r="AU82" s="26"/>
    </row>
    <row r="83" spans="1:47" ht="24" customHeight="1">
      <c r="A83" s="50">
        <f t="shared" si="12"/>
        <v>71</v>
      </c>
      <c r="B83" s="51" t="s">
        <v>331</v>
      </c>
      <c r="C83" s="52">
        <f t="shared" si="14"/>
        <v>16106</v>
      </c>
      <c r="D83" s="51" t="s">
        <v>325</v>
      </c>
      <c r="E83" s="28">
        <v>8710</v>
      </c>
      <c r="F83" s="40">
        <v>10</v>
      </c>
      <c r="G83" s="38" t="s">
        <v>93</v>
      </c>
      <c r="H83" s="26" t="s">
        <v>332</v>
      </c>
      <c r="I83" s="40">
        <f>(C26)/3</f>
        <v>13.673333333333332</v>
      </c>
      <c r="J83" s="26" t="s">
        <v>93</v>
      </c>
      <c r="K83" s="40">
        <f>(F83*I83)</f>
        <v>136.73333333333332</v>
      </c>
      <c r="M83" s="40">
        <v>7.1</v>
      </c>
      <c r="N83" s="26" t="s">
        <v>105</v>
      </c>
      <c r="O83" s="26" t="s">
        <v>271</v>
      </c>
      <c r="P83" s="40">
        <f>(C12)</f>
        <v>702.8</v>
      </c>
      <c r="Q83" s="26" t="s">
        <v>105</v>
      </c>
      <c r="R83" s="40">
        <f>(M83*P83)</f>
        <v>4989.8799999999992</v>
      </c>
      <c r="S83" s="76">
        <v>10</v>
      </c>
      <c r="T83" s="38" t="s">
        <v>93</v>
      </c>
      <c r="U83" s="26" t="s">
        <v>332</v>
      </c>
      <c r="V83" s="40">
        <f>AG27/3</f>
        <v>11.993333333333332</v>
      </c>
      <c r="W83" s="26" t="s">
        <v>93</v>
      </c>
      <c r="X83" s="40">
        <f>(S83*V83)</f>
        <v>119.93333333333332</v>
      </c>
      <c r="Y83" s="40"/>
      <c r="AG83" s="48"/>
      <c r="AI83" s="26"/>
      <c r="AS83" s="47"/>
      <c r="AU83" s="26"/>
    </row>
    <row r="84" spans="1:47" ht="24" customHeight="1">
      <c r="A84" s="50">
        <f t="shared" si="12"/>
        <v>72</v>
      </c>
      <c r="B84" s="51" t="s">
        <v>333</v>
      </c>
      <c r="C84" s="52">
        <f t="shared" si="14"/>
        <v>1297</v>
      </c>
      <c r="D84" s="51" t="s">
        <v>93</v>
      </c>
      <c r="G84" s="38" t="s">
        <v>106</v>
      </c>
      <c r="H84" s="26" t="s">
        <v>107</v>
      </c>
      <c r="J84" s="26" t="s">
        <v>106</v>
      </c>
      <c r="K84" s="40">
        <v>0</v>
      </c>
      <c r="M84" s="48">
        <v>21.2</v>
      </c>
      <c r="N84" s="26" t="s">
        <v>105</v>
      </c>
      <c r="O84" s="26" t="s">
        <v>276</v>
      </c>
      <c r="P84" s="40">
        <f>(C13)</f>
        <v>576.79999999999995</v>
      </c>
      <c r="Q84" s="26" t="s">
        <v>105</v>
      </c>
      <c r="R84" s="40">
        <f>(M84*P84)</f>
        <v>12228.159999999998</v>
      </c>
      <c r="T84" s="38" t="s">
        <v>106</v>
      </c>
      <c r="U84" s="26" t="s">
        <v>107</v>
      </c>
      <c r="W84" s="26" t="s">
        <v>106</v>
      </c>
      <c r="X84" s="40">
        <v>0</v>
      </c>
      <c r="Y84" s="40"/>
      <c r="AG84" s="48"/>
      <c r="AI84" s="26"/>
      <c r="AP84" s="64">
        <v>9</v>
      </c>
      <c r="AQ84" s="38" t="s">
        <v>67</v>
      </c>
      <c r="AR84" s="26" t="s">
        <v>334</v>
      </c>
      <c r="AT84" s="31"/>
    </row>
    <row r="85" spans="1:47" ht="24" customHeight="1">
      <c r="A85" s="50">
        <f t="shared" si="12"/>
        <v>73</v>
      </c>
      <c r="B85" s="51" t="s">
        <v>335</v>
      </c>
      <c r="C85" s="52">
        <f t="shared" si="14"/>
        <v>2039.8500000000001</v>
      </c>
      <c r="D85" s="51" t="s">
        <v>93</v>
      </c>
      <c r="K85" s="35" t="s">
        <v>48</v>
      </c>
      <c r="N85" s="26" t="s">
        <v>106</v>
      </c>
      <c r="O85" s="26" t="s">
        <v>107</v>
      </c>
      <c r="Q85" s="26" t="s">
        <v>106</v>
      </c>
      <c r="R85" s="40">
        <v>0</v>
      </c>
      <c r="T85" s="29"/>
      <c r="W85" s="31"/>
      <c r="X85" s="35" t="s">
        <v>48</v>
      </c>
      <c r="Y85" s="35"/>
      <c r="AG85" s="48"/>
      <c r="AI85" s="26"/>
      <c r="AQ85" s="29"/>
      <c r="AR85" s="26" t="str">
        <f>AR61</f>
        <v>Bricks of size 23x11x7 cm</v>
      </c>
      <c r="AT85" s="31"/>
    </row>
    <row r="86" spans="1:47" ht="24" customHeight="1">
      <c r="A86" s="50">
        <f t="shared" si="12"/>
        <v>74</v>
      </c>
      <c r="B86" s="51" t="s">
        <v>336</v>
      </c>
      <c r="C86" s="52">
        <f t="shared" si="14"/>
        <v>34300</v>
      </c>
      <c r="D86" s="51" t="s">
        <v>93</v>
      </c>
      <c r="H86" s="26" t="s">
        <v>280</v>
      </c>
      <c r="K86" s="40">
        <f>SUM(K81:K84)</f>
        <v>2488.7333333333331</v>
      </c>
      <c r="R86" s="35" t="s">
        <v>48</v>
      </c>
      <c r="T86" s="29"/>
      <c r="U86" s="26" t="s">
        <v>280</v>
      </c>
      <c r="W86" s="31"/>
      <c r="X86" s="40">
        <f>SUM(X81:X84)</f>
        <v>1690.7333333333331</v>
      </c>
      <c r="Y86" s="40"/>
      <c r="AG86" s="48"/>
      <c r="AI86" s="26"/>
      <c r="AQ86" s="29"/>
      <c r="AR86" s="35" t="s">
        <v>48</v>
      </c>
      <c r="AT86" s="31"/>
    </row>
    <row r="87" spans="1:47" ht="24" customHeight="1">
      <c r="A87" s="50">
        <f t="shared" si="12"/>
        <v>75</v>
      </c>
      <c r="B87" s="51" t="s">
        <v>337</v>
      </c>
      <c r="C87" s="52">
        <f t="shared" si="14"/>
        <v>39400</v>
      </c>
      <c r="D87" s="51" t="s">
        <v>93</v>
      </c>
      <c r="K87" s="35" t="s">
        <v>48</v>
      </c>
      <c r="O87" s="26" t="s">
        <v>280</v>
      </c>
      <c r="R87" s="40">
        <f>SUM(R79:R85)</f>
        <v>82133.83</v>
      </c>
      <c r="T87" s="29"/>
      <c r="W87" s="31"/>
      <c r="X87" s="35" t="s">
        <v>48</v>
      </c>
      <c r="Y87" s="35"/>
      <c r="AG87" s="48"/>
      <c r="AI87" s="26"/>
      <c r="AP87" s="40">
        <f>AP63</f>
        <v>1300</v>
      </c>
      <c r="AQ87" s="38" t="s">
        <v>293</v>
      </c>
      <c r="AR87" s="40" t="str">
        <f>AR61</f>
        <v>Bricks of size 23x11x7 cm</v>
      </c>
      <c r="AS87" s="40">
        <f>AE45</f>
        <v>6714.95</v>
      </c>
      <c r="AT87" s="26" t="s">
        <v>294</v>
      </c>
      <c r="AU87" s="40">
        <f>AS87*AP87/1000</f>
        <v>8729.4349999999995</v>
      </c>
    </row>
    <row r="88" spans="1:47" ht="36" customHeight="1">
      <c r="A88" s="50">
        <f t="shared" si="12"/>
        <v>76</v>
      </c>
      <c r="B88" s="51" t="s">
        <v>338</v>
      </c>
      <c r="C88" s="52">
        <f t="shared" si="14"/>
        <v>111600</v>
      </c>
      <c r="D88" s="51" t="s">
        <v>93</v>
      </c>
      <c r="H88" s="30" t="s">
        <v>339</v>
      </c>
      <c r="I88" s="41" t="s">
        <v>340</v>
      </c>
      <c r="J88" s="86"/>
      <c r="K88" s="39">
        <f>(K86/10)</f>
        <v>248.87333333333331</v>
      </c>
      <c r="R88" s="35" t="s">
        <v>48</v>
      </c>
      <c r="T88" s="29"/>
      <c r="U88" s="30" t="s">
        <v>339</v>
      </c>
      <c r="V88" s="41" t="s">
        <v>340</v>
      </c>
      <c r="W88" s="86"/>
      <c r="X88" s="39">
        <f>(X86/10)</f>
        <v>169.07333333333332</v>
      </c>
      <c r="Y88" s="39"/>
      <c r="AG88" s="48"/>
      <c r="AI88" s="26"/>
      <c r="AP88" s="76">
        <f>AP64</f>
        <v>0.70799999999999996</v>
      </c>
      <c r="AQ88" s="38" t="s">
        <v>93</v>
      </c>
      <c r="AR88" s="26" t="s">
        <v>266</v>
      </c>
      <c r="AS88" s="40">
        <f>K58</f>
        <v>4279.6400000000003</v>
      </c>
      <c r="AT88" s="26" t="s">
        <v>93</v>
      </c>
      <c r="AU88" s="40">
        <f>AS88*AP88</f>
        <v>3029.9851200000003</v>
      </c>
    </row>
    <row r="89" spans="1:47" ht="19.5" customHeight="1">
      <c r="A89" s="50">
        <f t="shared" si="12"/>
        <v>77</v>
      </c>
      <c r="B89" s="51" t="s">
        <v>341</v>
      </c>
      <c r="C89" s="52">
        <f t="shared" si="14"/>
        <v>99400</v>
      </c>
      <c r="D89" s="51" t="s">
        <v>93</v>
      </c>
      <c r="I89" s="41" t="s">
        <v>342</v>
      </c>
      <c r="J89" s="86"/>
      <c r="K89" s="37">
        <f>ROUND(K88+C36,2)</f>
        <v>256.97000000000003</v>
      </c>
      <c r="O89" s="26" t="s">
        <v>201</v>
      </c>
      <c r="R89" s="40">
        <f>(R87/10)</f>
        <v>8213.3829999999998</v>
      </c>
      <c r="T89" s="29"/>
      <c r="V89" s="41" t="s">
        <v>342</v>
      </c>
      <c r="W89" s="86"/>
      <c r="X89" s="37">
        <f>ROUND(X88+C36,2)</f>
        <v>177.17</v>
      </c>
      <c r="Y89" s="37"/>
      <c r="AG89" s="48"/>
      <c r="AI89" s="26"/>
      <c r="AP89" s="40">
        <v>1</v>
      </c>
      <c r="AQ89" s="38" t="s">
        <v>105</v>
      </c>
      <c r="AR89" s="26" t="s">
        <v>298</v>
      </c>
      <c r="AS89" s="40">
        <f>AS65</f>
        <v>1076.5999999999999</v>
      </c>
      <c r="AT89" s="26" t="s">
        <v>105</v>
      </c>
      <c r="AU89" s="40">
        <f>AS89*AP89</f>
        <v>1076.5999999999999</v>
      </c>
    </row>
    <row r="90" spans="1:47" ht="36" customHeight="1">
      <c r="A90" s="50">
        <f t="shared" si="12"/>
        <v>78</v>
      </c>
      <c r="B90" s="51" t="s">
        <v>343</v>
      </c>
      <c r="C90" s="52">
        <f>AE28</f>
        <v>95000</v>
      </c>
      <c r="D90" s="51" t="s">
        <v>93</v>
      </c>
      <c r="F90" s="64" t="s">
        <v>344</v>
      </c>
      <c r="H90" s="87" t="s">
        <v>345</v>
      </c>
      <c r="I90" s="41" t="s">
        <v>340</v>
      </c>
      <c r="J90" s="86"/>
      <c r="K90" s="39">
        <f>K88-K83/10</f>
        <v>235.2</v>
      </c>
      <c r="R90" s="35" t="s">
        <v>41</v>
      </c>
      <c r="S90" s="83" t="s">
        <v>344</v>
      </c>
      <c r="T90" s="29"/>
      <c r="U90" s="87" t="s">
        <v>346</v>
      </c>
      <c r="V90" s="41" t="s">
        <v>340</v>
      </c>
      <c r="W90" s="86"/>
      <c r="X90" s="39">
        <f>X88-X83/10</f>
        <v>157.07999999999998</v>
      </c>
      <c r="Y90" s="39"/>
      <c r="AG90" s="48"/>
      <c r="AI90" s="26"/>
      <c r="AP90" s="40">
        <v>3</v>
      </c>
      <c r="AQ90" s="38" t="s">
        <v>105</v>
      </c>
      <c r="AR90" s="26" t="s">
        <v>269</v>
      </c>
      <c r="AS90" s="40">
        <f>AS66</f>
        <v>1005.1999999999999</v>
      </c>
      <c r="AT90" s="26" t="s">
        <v>105</v>
      </c>
      <c r="AU90" s="40">
        <f>AS90*AP90</f>
        <v>3015.6</v>
      </c>
    </row>
    <row r="91" spans="1:47" ht="24" customHeight="1">
      <c r="A91" s="50">
        <f t="shared" si="12"/>
        <v>79</v>
      </c>
      <c r="B91" s="51" t="s">
        <v>347</v>
      </c>
      <c r="C91" s="52">
        <f t="shared" si="14"/>
        <v>5424.65</v>
      </c>
      <c r="D91" s="51" t="s">
        <v>325</v>
      </c>
      <c r="I91" s="41" t="s">
        <v>342</v>
      </c>
      <c r="J91" s="86"/>
      <c r="K91" s="37">
        <f>ROUND(K90+C36,2)</f>
        <v>243.3</v>
      </c>
      <c r="T91" s="29"/>
      <c r="V91" s="41" t="s">
        <v>342</v>
      </c>
      <c r="W91" s="86"/>
      <c r="X91" s="37">
        <f>ROUND(X90+C36,2)</f>
        <v>165.18</v>
      </c>
      <c r="Y91" s="37"/>
      <c r="AG91" s="48"/>
      <c r="AI91" s="26"/>
      <c r="AP91" s="40">
        <v>2</v>
      </c>
      <c r="AQ91" s="38" t="s">
        <v>105</v>
      </c>
      <c r="AR91" s="26" t="s">
        <v>271</v>
      </c>
      <c r="AS91" s="40">
        <f>AS67</f>
        <v>702.8</v>
      </c>
      <c r="AT91" s="26" t="s">
        <v>105</v>
      </c>
      <c r="AU91" s="40">
        <f>AS91*AP91</f>
        <v>1405.6</v>
      </c>
    </row>
    <row r="92" spans="1:47" ht="24" customHeight="1">
      <c r="A92" s="66"/>
      <c r="B92" s="66"/>
      <c r="C92" s="66"/>
      <c r="D92" s="66"/>
      <c r="F92" s="64" t="s">
        <v>348</v>
      </c>
      <c r="G92" s="38" t="s">
        <v>27</v>
      </c>
      <c r="H92" s="26" t="s">
        <v>349</v>
      </c>
      <c r="S92" s="83"/>
      <c r="T92" s="38"/>
      <c r="U92" s="26"/>
      <c r="W92" s="31"/>
      <c r="AG92" s="48"/>
      <c r="AP92" s="40">
        <v>6</v>
      </c>
      <c r="AQ92" s="38" t="s">
        <v>105</v>
      </c>
      <c r="AR92" s="26" t="s">
        <v>276</v>
      </c>
      <c r="AS92" s="40">
        <f>AS68</f>
        <v>576.79999999999995</v>
      </c>
      <c r="AT92" s="26" t="s">
        <v>105</v>
      </c>
      <c r="AU92" s="40">
        <f>AS92*AP92</f>
        <v>3460.7999999999997</v>
      </c>
    </row>
    <row r="93" spans="1:47" ht="24" customHeight="1">
      <c r="A93" s="66"/>
      <c r="B93" s="66"/>
      <c r="C93" s="66"/>
      <c r="D93" s="66"/>
      <c r="F93" s="84" t="s">
        <v>27</v>
      </c>
      <c r="H93" s="35" t="s">
        <v>48</v>
      </c>
      <c r="M93" s="28" t="s">
        <v>350</v>
      </c>
      <c r="S93" s="85"/>
      <c r="T93" s="29"/>
      <c r="U93" s="35"/>
      <c r="W93" s="31"/>
      <c r="AG93" s="48"/>
      <c r="AQ93" s="38" t="s">
        <v>106</v>
      </c>
      <c r="AR93" s="26" t="s">
        <v>107</v>
      </c>
      <c r="AT93" s="26" t="s">
        <v>106</v>
      </c>
      <c r="AU93" s="40">
        <v>0</v>
      </c>
    </row>
    <row r="94" spans="1:47" ht="24" customHeight="1">
      <c r="A94" s="66"/>
      <c r="B94" s="66"/>
      <c r="C94" s="66"/>
      <c r="D94" s="66"/>
      <c r="F94" s="40">
        <v>10</v>
      </c>
      <c r="G94" s="38" t="s">
        <v>93</v>
      </c>
      <c r="H94" s="26" t="s">
        <v>351</v>
      </c>
      <c r="I94" s="40">
        <f>D61</f>
        <v>175.28</v>
      </c>
      <c r="J94" s="26" t="s">
        <v>93</v>
      </c>
      <c r="K94" s="40">
        <f>(F94*I94)</f>
        <v>1752.8</v>
      </c>
      <c r="M94" s="28">
        <v>23.2</v>
      </c>
      <c r="S94" s="76"/>
      <c r="T94" s="38"/>
      <c r="U94" s="26"/>
      <c r="V94" s="40"/>
      <c r="W94" s="26"/>
      <c r="X94" s="40"/>
      <c r="Y94" s="40"/>
      <c r="AG94" s="48"/>
      <c r="AQ94" s="29"/>
      <c r="AT94" s="31"/>
      <c r="AU94" s="35" t="s">
        <v>48</v>
      </c>
    </row>
    <row r="95" spans="1:47" ht="24" customHeight="1">
      <c r="A95" s="66"/>
      <c r="B95" s="66"/>
      <c r="C95" s="66"/>
      <c r="D95" s="66"/>
      <c r="F95" s="40">
        <v>10</v>
      </c>
      <c r="G95" s="38" t="s">
        <v>93</v>
      </c>
      <c r="H95" s="26" t="s">
        <v>330</v>
      </c>
      <c r="I95" s="40">
        <f>D61</f>
        <v>175.28</v>
      </c>
      <c r="J95" s="26" t="s">
        <v>93</v>
      </c>
      <c r="K95" s="40">
        <f>(F95*I95)</f>
        <v>1752.8</v>
      </c>
      <c r="M95" s="28">
        <v>23.2</v>
      </c>
      <c r="S95" s="76"/>
      <c r="T95" s="38"/>
      <c r="U95" s="26"/>
      <c r="V95" s="40"/>
      <c r="W95" s="26"/>
      <c r="X95" s="40"/>
      <c r="Y95" s="40"/>
      <c r="AG95" s="48"/>
      <c r="AQ95" s="29"/>
      <c r="AR95" s="26" t="s">
        <v>280</v>
      </c>
      <c r="AT95" s="31"/>
      <c r="AU95" s="40">
        <f>SUM(AU87:AU93)</f>
        <v>20718.020119999997</v>
      </c>
    </row>
    <row r="96" spans="1:47" ht="24" customHeight="1">
      <c r="A96" s="66"/>
      <c r="B96" s="66"/>
      <c r="C96" s="66"/>
      <c r="D96" s="66"/>
      <c r="F96" s="40">
        <v>10</v>
      </c>
      <c r="G96" s="38" t="s">
        <v>93</v>
      </c>
      <c r="H96" s="26" t="s">
        <v>332</v>
      </c>
      <c r="I96" s="40">
        <f>I83</f>
        <v>13.673333333333332</v>
      </c>
      <c r="J96" s="26" t="s">
        <v>93</v>
      </c>
      <c r="K96" s="40">
        <f>(F96*I96)</f>
        <v>136.73333333333332</v>
      </c>
      <c r="M96" s="28">
        <f>I96</f>
        <v>13.673333333333332</v>
      </c>
      <c r="S96" s="76"/>
      <c r="T96" s="38"/>
      <c r="U96" s="26"/>
      <c r="V96" s="40"/>
      <c r="W96" s="26"/>
      <c r="X96" s="40"/>
      <c r="Y96" s="40"/>
      <c r="AG96" s="48"/>
      <c r="AQ96" s="29"/>
      <c r="AT96" s="31"/>
      <c r="AU96" s="35" t="s">
        <v>48</v>
      </c>
    </row>
    <row r="97" spans="1:50" ht="24" customHeight="1">
      <c r="A97" s="66"/>
      <c r="B97" s="66"/>
      <c r="C97" s="66"/>
      <c r="D97" s="66"/>
      <c r="G97" s="38" t="s">
        <v>106</v>
      </c>
      <c r="H97" s="26" t="s">
        <v>107</v>
      </c>
      <c r="J97" s="26" t="s">
        <v>106</v>
      </c>
      <c r="K97" s="40">
        <v>0</v>
      </c>
      <c r="M97" s="28">
        <f>SUM(M94:M96)</f>
        <v>60.073333333333331</v>
      </c>
      <c r="T97" s="38"/>
      <c r="U97" s="26"/>
      <c r="W97" s="26"/>
      <c r="X97" s="40"/>
      <c r="Y97" s="40"/>
      <c r="AG97" s="48"/>
      <c r="AQ97" s="29"/>
      <c r="AR97" s="27" t="s">
        <v>201</v>
      </c>
      <c r="AT97" s="31"/>
      <c r="AU97" s="40">
        <f>(AU95/2.83168)</f>
        <v>7316.5117951180919</v>
      </c>
    </row>
    <row r="98" spans="1:50" ht="24" customHeight="1">
      <c r="A98" s="66"/>
      <c r="B98" s="66"/>
      <c r="C98" s="66"/>
      <c r="D98" s="66"/>
      <c r="K98" s="35" t="s">
        <v>48</v>
      </c>
      <c r="T98" s="29"/>
      <c r="W98" s="31"/>
      <c r="X98" s="35"/>
      <c r="Y98" s="35"/>
      <c r="AG98" s="48"/>
      <c r="AQ98" s="29"/>
      <c r="AT98" s="31"/>
      <c r="AU98" s="35" t="s">
        <v>41</v>
      </c>
    </row>
    <row r="99" spans="1:50" ht="24" customHeight="1">
      <c r="A99" s="66"/>
      <c r="B99" s="66"/>
      <c r="C99" s="66"/>
      <c r="D99" s="66"/>
      <c r="H99" s="26" t="s">
        <v>280</v>
      </c>
      <c r="K99" s="40">
        <f>SUM(K94:K97)</f>
        <v>3642.333333333333</v>
      </c>
      <c r="T99" s="29"/>
      <c r="U99" s="26"/>
      <c r="W99" s="31"/>
      <c r="X99" s="40"/>
      <c r="Y99" s="40"/>
      <c r="AG99" s="48"/>
      <c r="AQ99" s="29"/>
      <c r="AR99" s="26" t="s">
        <v>309</v>
      </c>
      <c r="AT99" s="31"/>
      <c r="AU99" s="39">
        <f>AU97+C19</f>
        <v>7399.391795118092</v>
      </c>
      <c r="AW99" s="28">
        <f>AU99*22.69/100</f>
        <v>1678.9219983122953</v>
      </c>
      <c r="AX99" s="28">
        <f>AU99-AW99</f>
        <v>5720.4697968057972</v>
      </c>
    </row>
    <row r="100" spans="1:50" ht="24" customHeight="1">
      <c r="A100" s="66"/>
      <c r="B100" s="66"/>
      <c r="C100" s="66"/>
      <c r="D100" s="66"/>
      <c r="K100" s="35" t="s">
        <v>48</v>
      </c>
      <c r="T100" s="29"/>
      <c r="W100" s="31"/>
      <c r="X100" s="35"/>
      <c r="Y100" s="35"/>
      <c r="AG100" s="48"/>
      <c r="AQ100" s="29"/>
      <c r="AR100" s="26" t="s">
        <v>313</v>
      </c>
      <c r="AT100" s="31"/>
      <c r="AU100" s="39">
        <f>(AU99+C20)</f>
        <v>7566.4117951180924</v>
      </c>
      <c r="AW100" s="28">
        <f t="shared" ref="AW100:AW163" si="15">AU100*22.69/100</f>
        <v>1716.8188363122952</v>
      </c>
      <c r="AX100" s="28">
        <f t="shared" ref="AX100:AX163" si="16">AU100-AW100</f>
        <v>5849.592958805797</v>
      </c>
    </row>
    <row r="101" spans="1:50" ht="24" customHeight="1">
      <c r="A101" s="66"/>
      <c r="B101" s="66"/>
      <c r="C101" s="66"/>
      <c r="D101" s="66"/>
      <c r="H101" s="30" t="s">
        <v>339</v>
      </c>
      <c r="I101" s="41" t="s">
        <v>340</v>
      </c>
      <c r="J101" s="86"/>
      <c r="K101" s="39">
        <f>(K99/10)</f>
        <v>364.23333333333329</v>
      </c>
      <c r="M101" s="28">
        <f>SUM(M94:M95)</f>
        <v>46.4</v>
      </c>
      <c r="T101" s="29"/>
      <c r="U101" s="30"/>
      <c r="V101" s="41"/>
      <c r="W101" s="86"/>
      <c r="X101" s="39"/>
      <c r="Y101" s="39"/>
      <c r="AG101" s="48"/>
      <c r="AQ101" s="29"/>
      <c r="AR101" s="26" t="s">
        <v>316</v>
      </c>
      <c r="AT101" s="31"/>
      <c r="AU101" s="39">
        <f>(AU100+C20)</f>
        <v>7733.4317951180929</v>
      </c>
      <c r="AW101" s="28">
        <f t="shared" si="15"/>
        <v>1754.7156743122955</v>
      </c>
      <c r="AX101" s="28">
        <f t="shared" si="16"/>
        <v>5978.7161208057969</v>
      </c>
    </row>
    <row r="102" spans="1:50" ht="24" customHeight="1">
      <c r="A102" s="66"/>
      <c r="B102" s="66"/>
      <c r="C102" s="66"/>
      <c r="D102" s="66"/>
      <c r="I102" s="41" t="s">
        <v>342</v>
      </c>
      <c r="J102" s="86"/>
      <c r="K102" s="37">
        <f>ROUND(K101+C36,2)</f>
        <v>372.33</v>
      </c>
      <c r="T102" s="29"/>
      <c r="V102" s="41"/>
      <c r="W102" s="86"/>
      <c r="X102" s="37"/>
      <c r="Y102" s="37"/>
      <c r="AG102" s="48"/>
      <c r="AQ102" s="29"/>
      <c r="AR102" s="26" t="s">
        <v>318</v>
      </c>
      <c r="AT102" s="31"/>
      <c r="AU102" s="39">
        <f>(AU101+C20)</f>
        <v>7900.4517951180933</v>
      </c>
      <c r="AW102" s="28">
        <f t="shared" si="15"/>
        <v>1792.6125123122954</v>
      </c>
      <c r="AX102" s="28">
        <f t="shared" si="16"/>
        <v>6107.8392828057977</v>
      </c>
    </row>
    <row r="103" spans="1:50" ht="24" customHeight="1">
      <c r="A103" s="66"/>
      <c r="B103" s="66"/>
      <c r="C103" s="66"/>
      <c r="D103" s="66"/>
      <c r="I103" s="41"/>
      <c r="J103" s="86"/>
      <c r="K103" s="43"/>
      <c r="T103" s="29"/>
      <c r="V103" s="41"/>
      <c r="W103" s="86"/>
      <c r="X103" s="43"/>
      <c r="Y103" s="43"/>
      <c r="AG103" s="48"/>
      <c r="AP103" s="26" t="s">
        <v>27</v>
      </c>
      <c r="AQ103" s="29"/>
      <c r="AR103" s="26" t="s">
        <v>323</v>
      </c>
      <c r="AT103" s="31"/>
      <c r="AU103" s="39">
        <f>(AU102+C20)</f>
        <v>8067.4717951180937</v>
      </c>
      <c r="AW103" s="28">
        <f t="shared" si="15"/>
        <v>1830.5093503122955</v>
      </c>
      <c r="AX103" s="28">
        <f t="shared" si="16"/>
        <v>6236.9624448057984</v>
      </c>
    </row>
    <row r="104" spans="1:50" ht="30.75" customHeight="1">
      <c r="A104" s="66"/>
      <c r="B104" s="66"/>
      <c r="C104" s="66"/>
      <c r="D104" s="66"/>
      <c r="F104" s="77">
        <v>1.7</v>
      </c>
      <c r="H104" s="87" t="s">
        <v>352</v>
      </c>
      <c r="I104" s="41" t="s">
        <v>340</v>
      </c>
      <c r="J104" s="86"/>
      <c r="K104" s="37">
        <f>ROUND(K101-K96/10,2)</f>
        <v>350.56</v>
      </c>
      <c r="S104" s="83"/>
      <c r="T104" s="29"/>
      <c r="U104" s="87"/>
      <c r="V104" s="41"/>
      <c r="W104" s="86"/>
      <c r="X104" s="37"/>
      <c r="Y104" s="37"/>
      <c r="AG104" s="48"/>
      <c r="AP104" s="64">
        <v>27</v>
      </c>
      <c r="AQ104" s="38" t="s">
        <v>67</v>
      </c>
      <c r="AR104" s="26" t="s">
        <v>353</v>
      </c>
      <c r="AT104" s="31"/>
    </row>
    <row r="105" spans="1:50" ht="24" customHeight="1">
      <c r="A105" s="66"/>
      <c r="B105" s="66"/>
      <c r="C105" s="66"/>
      <c r="D105" s="66"/>
      <c r="I105" s="41" t="s">
        <v>342</v>
      </c>
      <c r="J105" s="86"/>
      <c r="K105" s="37">
        <f>ROUND(K104+C36,2)</f>
        <v>358.66</v>
      </c>
      <c r="T105" s="29"/>
      <c r="V105" s="41"/>
      <c r="W105" s="86"/>
      <c r="X105" s="37"/>
      <c r="Y105" s="37"/>
      <c r="AG105" s="48"/>
      <c r="AQ105" s="29"/>
      <c r="AR105" s="26" t="str">
        <f>AR85</f>
        <v>Bricks of size 23x11x7 cm</v>
      </c>
      <c r="AT105" s="31"/>
    </row>
    <row r="106" spans="1:50" ht="24" customHeight="1">
      <c r="A106" s="66"/>
      <c r="B106" s="66"/>
      <c r="C106" s="66"/>
      <c r="D106" s="66"/>
      <c r="K106" s="35"/>
      <c r="T106" s="29"/>
      <c r="W106" s="31"/>
      <c r="X106" s="35"/>
      <c r="Y106" s="35"/>
      <c r="AG106" s="48"/>
      <c r="AQ106" s="29"/>
      <c r="AR106" s="35" t="s">
        <v>48</v>
      </c>
      <c r="AT106" s="31"/>
    </row>
    <row r="107" spans="1:50" ht="24" customHeight="1">
      <c r="A107" s="66"/>
      <c r="B107" s="66"/>
      <c r="C107" s="66"/>
      <c r="D107" s="66"/>
      <c r="K107" s="35"/>
      <c r="T107" s="29"/>
      <c r="W107" s="31"/>
      <c r="X107" s="35"/>
      <c r="Y107" s="35"/>
      <c r="AG107" s="48"/>
      <c r="AP107" s="40">
        <v>1300</v>
      </c>
      <c r="AQ107" s="38" t="s">
        <v>293</v>
      </c>
      <c r="AR107" s="40" t="str">
        <f>AR61</f>
        <v>Bricks of size 23x11x7 cm</v>
      </c>
      <c r="AS107" s="40">
        <f>AE45</f>
        <v>6714.95</v>
      </c>
      <c r="AT107" s="26" t="s">
        <v>294</v>
      </c>
      <c r="AU107" s="40">
        <f>(AP107*AS107)/1000</f>
        <v>8729.4349999999995</v>
      </c>
      <c r="AW107" s="28">
        <f t="shared" si="15"/>
        <v>1980.7088015000002</v>
      </c>
      <c r="AX107" s="28">
        <f t="shared" si="16"/>
        <v>6748.7261984999996</v>
      </c>
    </row>
    <row r="108" spans="1:50" ht="63" customHeight="1">
      <c r="A108" s="66"/>
      <c r="B108" s="66"/>
      <c r="C108" s="66"/>
      <c r="D108" s="66"/>
      <c r="F108" s="77">
        <v>1.4</v>
      </c>
      <c r="G108" s="38" t="s">
        <v>27</v>
      </c>
      <c r="H108" s="731" t="s">
        <v>354</v>
      </c>
      <c r="I108" s="731"/>
      <c r="J108" s="731"/>
      <c r="K108" s="731"/>
      <c r="S108" s="83">
        <v>1.4</v>
      </c>
      <c r="T108" s="38" t="s">
        <v>27</v>
      </c>
      <c r="U108" s="88" t="s">
        <v>354</v>
      </c>
      <c r="W108" s="31"/>
      <c r="AG108" s="48"/>
      <c r="AP108" s="76">
        <v>0.70799999999999996</v>
      </c>
      <c r="AQ108" s="38" t="s">
        <v>93</v>
      </c>
      <c r="AR108" s="26" t="s">
        <v>218</v>
      </c>
      <c r="AS108" s="40">
        <f>K40</f>
        <v>4975.6400000000003</v>
      </c>
      <c r="AT108" s="26" t="s">
        <v>93</v>
      </c>
      <c r="AU108" s="40">
        <f>(AP108*AS108)</f>
        <v>3522.7531199999999</v>
      </c>
      <c r="AW108" s="28">
        <f t="shared" si="15"/>
        <v>799.31268292799996</v>
      </c>
      <c r="AX108" s="28">
        <f t="shared" si="16"/>
        <v>2723.4404370719999</v>
      </c>
    </row>
    <row r="109" spans="1:50" ht="24" customHeight="1">
      <c r="A109" s="66"/>
      <c r="B109" s="66"/>
      <c r="C109" s="66"/>
      <c r="D109" s="66"/>
      <c r="T109" s="29"/>
      <c r="W109" s="31"/>
      <c r="AG109" s="48"/>
      <c r="AP109" s="40">
        <v>1</v>
      </c>
      <c r="AQ109" s="38" t="s">
        <v>105</v>
      </c>
      <c r="AR109" s="26" t="s">
        <v>298</v>
      </c>
      <c r="AS109" s="40">
        <f>AS89</f>
        <v>1076.5999999999999</v>
      </c>
      <c r="AT109" s="26" t="s">
        <v>105</v>
      </c>
      <c r="AU109" s="40">
        <f>(AP109*AS109)</f>
        <v>1076.5999999999999</v>
      </c>
      <c r="AW109" s="28">
        <f t="shared" si="15"/>
        <v>244.28054</v>
      </c>
      <c r="AX109" s="28">
        <f t="shared" si="16"/>
        <v>832.31945999999994</v>
      </c>
    </row>
    <row r="110" spans="1:50" ht="24" customHeight="1">
      <c r="A110" s="66"/>
      <c r="B110" s="66"/>
      <c r="C110" s="66"/>
      <c r="D110" s="66"/>
      <c r="F110" s="40">
        <v>10</v>
      </c>
      <c r="G110" s="38" t="s">
        <v>93</v>
      </c>
      <c r="H110" s="26" t="s">
        <v>328</v>
      </c>
      <c r="I110" s="40">
        <f>C61</f>
        <v>117.6</v>
      </c>
      <c r="J110" s="26" t="s">
        <v>93</v>
      </c>
      <c r="K110" s="40">
        <f>(F110*I110)</f>
        <v>1176</v>
      </c>
      <c r="S110" s="76">
        <v>10</v>
      </c>
      <c r="T110" s="38" t="s">
        <v>93</v>
      </c>
      <c r="U110" s="26" t="s">
        <v>328</v>
      </c>
      <c r="V110" s="40">
        <f>V81</f>
        <v>78.539999999999992</v>
      </c>
      <c r="W110" s="26" t="s">
        <v>93</v>
      </c>
      <c r="X110" s="40">
        <f>(S110*V110)</f>
        <v>785.39999999999986</v>
      </c>
      <c r="Y110" s="40"/>
      <c r="AG110" s="48"/>
      <c r="AP110" s="40">
        <v>3</v>
      </c>
      <c r="AQ110" s="38" t="s">
        <v>105</v>
      </c>
      <c r="AR110" s="26" t="s">
        <v>269</v>
      </c>
      <c r="AS110" s="40">
        <f>AS90</f>
        <v>1005.1999999999999</v>
      </c>
      <c r="AT110" s="26" t="s">
        <v>105</v>
      </c>
      <c r="AU110" s="40">
        <f>(AP110*AS110)</f>
        <v>3015.6</v>
      </c>
      <c r="AW110" s="28">
        <f t="shared" si="15"/>
        <v>684.23964000000012</v>
      </c>
      <c r="AX110" s="28">
        <f t="shared" si="16"/>
        <v>2331.3603599999997</v>
      </c>
    </row>
    <row r="111" spans="1:50" ht="24" customHeight="1">
      <c r="A111" s="66"/>
      <c r="B111" s="66"/>
      <c r="C111" s="66"/>
      <c r="D111" s="66"/>
      <c r="F111" s="40">
        <v>10</v>
      </c>
      <c r="G111" s="38" t="s">
        <v>93</v>
      </c>
      <c r="H111" s="26" t="s">
        <v>332</v>
      </c>
      <c r="I111" s="40">
        <f>I83</f>
        <v>13.673333333333332</v>
      </c>
      <c r="J111" s="26" t="s">
        <v>93</v>
      </c>
      <c r="K111" s="40">
        <f>(F111*I111)</f>
        <v>136.73333333333332</v>
      </c>
      <c r="S111" s="76">
        <v>10</v>
      </c>
      <c r="T111" s="38" t="s">
        <v>93</v>
      </c>
      <c r="U111" s="26" t="s">
        <v>332</v>
      </c>
      <c r="V111" s="40">
        <f>V83</f>
        <v>11.993333333333332</v>
      </c>
      <c r="W111" s="26" t="s">
        <v>93</v>
      </c>
      <c r="X111" s="40">
        <f>(S111*V111)</f>
        <v>119.93333333333332</v>
      </c>
      <c r="Y111" s="40"/>
      <c r="AG111" s="48"/>
      <c r="AP111" s="40">
        <v>2</v>
      </c>
      <c r="AQ111" s="38" t="s">
        <v>105</v>
      </c>
      <c r="AR111" s="26" t="s">
        <v>271</v>
      </c>
      <c r="AS111" s="40">
        <f>AS91</f>
        <v>702.8</v>
      </c>
      <c r="AT111" s="26" t="s">
        <v>105</v>
      </c>
      <c r="AU111" s="40">
        <f>(AP111*AS111)</f>
        <v>1405.6</v>
      </c>
      <c r="AW111" s="28">
        <f t="shared" si="15"/>
        <v>318.93063999999998</v>
      </c>
      <c r="AX111" s="28">
        <f t="shared" si="16"/>
        <v>1086.6693599999999</v>
      </c>
    </row>
    <row r="112" spans="1:50" ht="24" customHeight="1">
      <c r="A112" s="66"/>
      <c r="B112" s="66"/>
      <c r="C112" s="66"/>
      <c r="D112" s="66"/>
      <c r="G112" s="38" t="s">
        <v>106</v>
      </c>
      <c r="H112" s="26" t="s">
        <v>107</v>
      </c>
      <c r="J112" s="26" t="s">
        <v>106</v>
      </c>
      <c r="K112" s="40">
        <v>0</v>
      </c>
      <c r="T112" s="38" t="s">
        <v>106</v>
      </c>
      <c r="U112" s="26" t="s">
        <v>107</v>
      </c>
      <c r="W112" s="26" t="s">
        <v>106</v>
      </c>
      <c r="X112" s="40">
        <v>0</v>
      </c>
      <c r="Y112" s="40"/>
      <c r="AG112" s="48"/>
      <c r="AP112" s="40">
        <v>6</v>
      </c>
      <c r="AQ112" s="38" t="s">
        <v>105</v>
      </c>
      <c r="AR112" s="26" t="s">
        <v>276</v>
      </c>
      <c r="AS112" s="40">
        <f>AS92</f>
        <v>576.79999999999995</v>
      </c>
      <c r="AT112" s="26" t="s">
        <v>105</v>
      </c>
      <c r="AU112" s="40">
        <f>(AP112*AS112)</f>
        <v>3460.7999999999997</v>
      </c>
      <c r="AW112" s="28">
        <f t="shared" si="15"/>
        <v>785.25551999999993</v>
      </c>
      <c r="AX112" s="28">
        <f t="shared" si="16"/>
        <v>2675.5444799999996</v>
      </c>
    </row>
    <row r="113" spans="1:50" ht="24" customHeight="1">
      <c r="A113" s="66"/>
      <c r="B113" s="66"/>
      <c r="C113" s="66"/>
      <c r="D113" s="66"/>
      <c r="K113" s="35" t="s">
        <v>48</v>
      </c>
      <c r="T113" s="29"/>
      <c r="W113" s="31"/>
      <c r="X113" s="35" t="s">
        <v>48</v>
      </c>
      <c r="Y113" s="35"/>
      <c r="AG113" s="48"/>
      <c r="AQ113" s="38" t="s">
        <v>106</v>
      </c>
      <c r="AR113" s="26" t="s">
        <v>107</v>
      </c>
      <c r="AT113" s="26" t="s">
        <v>106</v>
      </c>
      <c r="AU113" s="40">
        <v>0</v>
      </c>
      <c r="AW113" s="28">
        <f t="shared" si="15"/>
        <v>0</v>
      </c>
      <c r="AX113" s="28">
        <f t="shared" si="16"/>
        <v>0</v>
      </c>
    </row>
    <row r="114" spans="1:50" ht="24" customHeight="1">
      <c r="A114" s="66"/>
      <c r="B114" s="66"/>
      <c r="C114" s="66"/>
      <c r="D114" s="66"/>
      <c r="H114" s="26" t="s">
        <v>280</v>
      </c>
      <c r="K114" s="40">
        <f>SUM(K110:K112)</f>
        <v>1312.7333333333333</v>
      </c>
      <c r="T114" s="29"/>
      <c r="U114" s="26" t="s">
        <v>280</v>
      </c>
      <c r="W114" s="31"/>
      <c r="X114" s="40">
        <f>SUM(X110:X112)</f>
        <v>905.33333333333314</v>
      </c>
      <c r="Y114" s="40"/>
      <c r="AG114" s="48"/>
      <c r="AQ114" s="29"/>
      <c r="AT114" s="31"/>
      <c r="AU114" s="35" t="s">
        <v>48</v>
      </c>
      <c r="AW114" s="28">
        <f t="shared" si="15"/>
        <v>0</v>
      </c>
      <c r="AX114" s="28">
        <f t="shared" si="16"/>
        <v>0</v>
      </c>
    </row>
    <row r="115" spans="1:50" ht="24" customHeight="1">
      <c r="A115" s="66"/>
      <c r="B115" s="66"/>
      <c r="C115" s="66"/>
      <c r="D115" s="66"/>
      <c r="K115" s="35" t="s">
        <v>48</v>
      </c>
      <c r="T115" s="29"/>
      <c r="W115" s="31"/>
      <c r="X115" s="35" t="s">
        <v>48</v>
      </c>
      <c r="Y115" s="35"/>
      <c r="AG115" s="48"/>
      <c r="AQ115" s="29"/>
      <c r="AR115" s="26" t="s">
        <v>280</v>
      </c>
      <c r="AT115" s="31"/>
      <c r="AU115" s="40">
        <f>SUM(AU107:AU113)</f>
        <v>21210.788119999997</v>
      </c>
      <c r="AW115" s="28">
        <f t="shared" si="15"/>
        <v>4812.7278244279996</v>
      </c>
      <c r="AX115" s="28">
        <f t="shared" si="16"/>
        <v>16398.060295571999</v>
      </c>
    </row>
    <row r="116" spans="1:50" ht="24" customHeight="1">
      <c r="A116" s="66"/>
      <c r="B116" s="66"/>
      <c r="C116" s="66"/>
      <c r="D116" s="66"/>
      <c r="H116" s="26"/>
      <c r="K116" s="39">
        <f>(K114/10)</f>
        <v>131.27333333333334</v>
      </c>
      <c r="L116" s="41">
        <f>K116+C36</f>
        <v>139.37333333333333</v>
      </c>
      <c r="M116" s="28">
        <f>M94</f>
        <v>23.2</v>
      </c>
      <c r="T116" s="29"/>
      <c r="U116" s="26"/>
      <c r="W116" s="31"/>
      <c r="X116" s="39">
        <f>(X114/10)</f>
        <v>90.533333333333317</v>
      </c>
      <c r="Y116" s="39"/>
      <c r="AG116" s="48"/>
      <c r="AQ116" s="29"/>
      <c r="AT116" s="31"/>
      <c r="AU116" s="35" t="s">
        <v>48</v>
      </c>
      <c r="AW116" s="28">
        <f t="shared" si="15"/>
        <v>0</v>
      </c>
      <c r="AX116" s="28">
        <f t="shared" si="16"/>
        <v>0</v>
      </c>
    </row>
    <row r="117" spans="1:50" ht="24" customHeight="1">
      <c r="A117" s="66"/>
      <c r="B117" s="66"/>
      <c r="C117" s="66"/>
      <c r="D117" s="66"/>
      <c r="K117" s="35"/>
      <c r="T117" s="29"/>
      <c r="W117" s="31"/>
      <c r="X117" s="35"/>
      <c r="Y117" s="35"/>
      <c r="AG117" s="48"/>
      <c r="AQ117" s="29"/>
      <c r="AR117" s="26" t="s">
        <v>201</v>
      </c>
      <c r="AT117" s="31"/>
      <c r="AU117" s="39">
        <f>(AU115/2.83168)</f>
        <v>7490.5314583568752</v>
      </c>
      <c r="AW117" s="28">
        <f t="shared" si="15"/>
        <v>1699.601587901175</v>
      </c>
      <c r="AX117" s="28">
        <f t="shared" si="16"/>
        <v>5790.9298704557004</v>
      </c>
    </row>
    <row r="118" spans="1:50" ht="24" customHeight="1">
      <c r="A118" s="66"/>
      <c r="B118" s="66"/>
      <c r="C118" s="66"/>
      <c r="D118" s="66"/>
      <c r="F118" s="77">
        <v>1.5</v>
      </c>
      <c r="H118" s="26" t="s">
        <v>355</v>
      </c>
      <c r="I118" s="41" t="s">
        <v>340</v>
      </c>
      <c r="K118" s="39">
        <f>K116-K111/10</f>
        <v>117.60000000000001</v>
      </c>
      <c r="S118" s="83">
        <v>1.5</v>
      </c>
      <c r="T118" s="29"/>
      <c r="U118" s="26" t="s">
        <v>355</v>
      </c>
      <c r="V118" s="41" t="s">
        <v>340</v>
      </c>
      <c r="W118" s="31"/>
      <c r="X118" s="39">
        <f>X116-X111/10</f>
        <v>78.539999999999992</v>
      </c>
      <c r="Y118" s="39"/>
      <c r="AG118" s="48"/>
      <c r="AQ118" s="29"/>
      <c r="AT118" s="31"/>
      <c r="AU118" s="35" t="s">
        <v>41</v>
      </c>
      <c r="AW118" s="28">
        <f t="shared" si="15"/>
        <v>0</v>
      </c>
      <c r="AX118" s="28">
        <f t="shared" si="16"/>
        <v>0</v>
      </c>
    </row>
    <row r="119" spans="1:50" ht="24" customHeight="1">
      <c r="A119" s="66"/>
      <c r="B119" s="66"/>
      <c r="C119" s="66"/>
      <c r="D119" s="66"/>
      <c r="I119" s="41" t="s">
        <v>342</v>
      </c>
      <c r="K119" s="37">
        <f>ROUND(K118+C36,2)</f>
        <v>125.7</v>
      </c>
      <c r="T119" s="29"/>
      <c r="V119" s="41" t="s">
        <v>342</v>
      </c>
      <c r="W119" s="31"/>
      <c r="X119" s="37">
        <f>ROUND(X118+P36,2)</f>
        <v>78.540000000000006</v>
      </c>
      <c r="Y119" s="37"/>
      <c r="AG119" s="48"/>
      <c r="AQ119" s="29"/>
      <c r="AR119" s="26" t="s">
        <v>309</v>
      </c>
      <c r="AT119" s="31"/>
      <c r="AU119" s="40">
        <f>(AU117+C19)</f>
        <v>7573.4114583568753</v>
      </c>
      <c r="AV119" s="28">
        <f>AU119-AU117</f>
        <v>82.880000000000109</v>
      </c>
      <c r="AW119" s="28">
        <f t="shared" si="15"/>
        <v>1718.407059901175</v>
      </c>
      <c r="AX119" s="28">
        <f t="shared" si="16"/>
        <v>5855.0043984557005</v>
      </c>
    </row>
    <row r="120" spans="1:50" ht="24" customHeight="1">
      <c r="A120" s="66"/>
      <c r="B120" s="66"/>
      <c r="C120" s="66"/>
      <c r="D120" s="66"/>
      <c r="I120" s="28" t="s">
        <v>356</v>
      </c>
      <c r="K120" s="37">
        <f>ROUND(K119+C36,2)</f>
        <v>133.80000000000001</v>
      </c>
      <c r="T120" s="29"/>
      <c r="W120" s="31"/>
      <c r="X120" s="35"/>
      <c r="Y120" s="35"/>
      <c r="AG120" s="48"/>
      <c r="AQ120" s="29"/>
      <c r="AR120" s="26" t="s">
        <v>313</v>
      </c>
      <c r="AT120" s="31"/>
      <c r="AU120" s="40">
        <f>(AU119+C20)</f>
        <v>7740.4314583568757</v>
      </c>
      <c r="AV120" s="28">
        <f>AU120-AU119</f>
        <v>167.02000000000044</v>
      </c>
      <c r="AW120" s="28">
        <f t="shared" si="15"/>
        <v>1756.3038979011751</v>
      </c>
      <c r="AX120" s="28">
        <f t="shared" si="16"/>
        <v>5984.1275604557004</v>
      </c>
    </row>
    <row r="121" spans="1:50" ht="24" customHeight="1">
      <c r="A121" s="66"/>
      <c r="B121" s="66"/>
      <c r="C121" s="66"/>
      <c r="D121" s="66"/>
      <c r="I121" s="28" t="s">
        <v>357</v>
      </c>
      <c r="K121" s="37">
        <f>ROUND(K120+C36,2)</f>
        <v>141.9</v>
      </c>
      <c r="T121" s="29"/>
      <c r="W121" s="31"/>
      <c r="X121" s="35"/>
      <c r="Y121" s="35"/>
      <c r="AG121" s="48"/>
      <c r="AQ121" s="29"/>
      <c r="AR121" s="26" t="s">
        <v>316</v>
      </c>
      <c r="AT121" s="31"/>
      <c r="AU121" s="40">
        <f>(AU120+C20)</f>
        <v>7907.4514583568762</v>
      </c>
      <c r="AW121" s="28">
        <f t="shared" si="15"/>
        <v>1794.2007359011754</v>
      </c>
      <c r="AX121" s="28">
        <f t="shared" si="16"/>
        <v>6113.2507224557012</v>
      </c>
    </row>
    <row r="122" spans="1:50" ht="28.5" customHeight="1">
      <c r="A122" s="66"/>
      <c r="B122" s="66"/>
      <c r="C122" s="66"/>
      <c r="D122" s="66"/>
      <c r="F122" s="89">
        <v>1.8</v>
      </c>
      <c r="H122" s="88" t="s">
        <v>358</v>
      </c>
      <c r="K122" s="35"/>
      <c r="M122" s="27" t="s">
        <v>359</v>
      </c>
      <c r="N122" s="38" t="s">
        <v>67</v>
      </c>
      <c r="O122" s="26" t="s">
        <v>360</v>
      </c>
      <c r="Q122" s="31"/>
      <c r="S122" s="90"/>
      <c r="T122" s="29"/>
      <c r="U122" s="88"/>
      <c r="W122" s="31"/>
      <c r="X122" s="35"/>
      <c r="Y122" s="35"/>
      <c r="AG122" s="48"/>
      <c r="AQ122" s="29"/>
      <c r="AR122" s="26" t="s">
        <v>318</v>
      </c>
      <c r="AT122" s="31"/>
      <c r="AU122" s="40">
        <f>AU121+C20</f>
        <v>8074.4714583568766</v>
      </c>
      <c r="AW122" s="28">
        <f t="shared" si="15"/>
        <v>1832.0975739011753</v>
      </c>
      <c r="AX122" s="28">
        <f t="shared" si="16"/>
        <v>6242.373884455701</v>
      </c>
    </row>
    <row r="123" spans="1:50" ht="24" customHeight="1">
      <c r="A123" s="66"/>
      <c r="B123" s="66"/>
      <c r="C123" s="66"/>
      <c r="D123" s="66"/>
      <c r="K123" s="35"/>
      <c r="N123" s="29"/>
      <c r="O123" s="26" t="s">
        <v>361</v>
      </c>
      <c r="Q123" s="31"/>
      <c r="T123" s="29"/>
      <c r="W123" s="31"/>
      <c r="X123" s="35"/>
      <c r="Y123" s="35"/>
      <c r="AG123" s="48"/>
      <c r="AQ123" s="29"/>
      <c r="AR123" s="26" t="s">
        <v>323</v>
      </c>
      <c r="AT123" s="31"/>
      <c r="AU123" s="40">
        <f>AU122+C20</f>
        <v>8241.491458356877</v>
      </c>
      <c r="AW123" s="28">
        <f t="shared" si="15"/>
        <v>1869.9944119011757</v>
      </c>
      <c r="AX123" s="28">
        <f t="shared" si="16"/>
        <v>6371.4970464557009</v>
      </c>
    </row>
    <row r="124" spans="1:50" ht="24" customHeight="1">
      <c r="A124" s="66"/>
      <c r="B124" s="66"/>
      <c r="C124" s="66"/>
      <c r="D124" s="66"/>
      <c r="F124" s="40">
        <v>10</v>
      </c>
      <c r="G124" s="38" t="s">
        <v>93</v>
      </c>
      <c r="H124" s="26" t="s">
        <v>351</v>
      </c>
      <c r="I124" s="28">
        <f>D61</f>
        <v>175.28</v>
      </c>
      <c r="J124" s="26" t="s">
        <v>93</v>
      </c>
      <c r="K124" s="40">
        <f>(F124*I124)</f>
        <v>1752.8</v>
      </c>
      <c r="N124" s="29"/>
      <c r="O124" s="35" t="s">
        <v>48</v>
      </c>
      <c r="Q124" s="31"/>
      <c r="S124" s="76"/>
      <c r="T124" s="38"/>
      <c r="U124" s="26"/>
      <c r="W124" s="26" t="s">
        <v>93</v>
      </c>
      <c r="X124" s="40"/>
      <c r="Y124" s="40"/>
      <c r="AG124" s="48"/>
      <c r="AQ124" s="29"/>
      <c r="AR124" s="26" t="s">
        <v>362</v>
      </c>
      <c r="AT124" s="31"/>
      <c r="AU124" s="40">
        <f>(AU119+AU120+AU121+AU122)/4</f>
        <v>7823.941458356876</v>
      </c>
      <c r="AW124" s="28">
        <f t="shared" si="15"/>
        <v>1775.2523169011754</v>
      </c>
      <c r="AX124" s="28">
        <f t="shared" si="16"/>
        <v>6048.6891414557003</v>
      </c>
    </row>
    <row r="125" spans="1:50" ht="24" customHeight="1">
      <c r="A125" s="66"/>
      <c r="B125" s="66"/>
      <c r="C125" s="66"/>
      <c r="D125" s="66"/>
      <c r="G125" s="29" t="s">
        <v>363</v>
      </c>
      <c r="J125" s="31" t="s">
        <v>363</v>
      </c>
      <c r="K125" s="40">
        <v>0</v>
      </c>
      <c r="M125" s="40">
        <v>1</v>
      </c>
      <c r="N125" s="38" t="s">
        <v>93</v>
      </c>
      <c r="O125" s="26" t="s">
        <v>364</v>
      </c>
      <c r="P125" s="40">
        <f>AE39</f>
        <v>157</v>
      </c>
      <c r="Q125" s="26" t="s">
        <v>93</v>
      </c>
      <c r="R125" s="40">
        <f>(M125*P125)</f>
        <v>157</v>
      </c>
      <c r="T125" s="29"/>
      <c r="W125" s="31" t="s">
        <v>363</v>
      </c>
      <c r="X125" s="40"/>
      <c r="Y125" s="40"/>
      <c r="AG125" s="48"/>
      <c r="AQ125" s="29"/>
    </row>
    <row r="126" spans="1:50" ht="24" customHeight="1">
      <c r="A126" s="66"/>
      <c r="B126" s="66"/>
      <c r="C126" s="66"/>
      <c r="D126" s="66"/>
      <c r="K126" s="35" t="s">
        <v>48</v>
      </c>
      <c r="M126" s="40">
        <v>1</v>
      </c>
      <c r="N126" s="38" t="s">
        <v>93</v>
      </c>
      <c r="O126" s="26" t="s">
        <v>177</v>
      </c>
      <c r="P126" s="40">
        <f>P141</f>
        <v>41.019999999999996</v>
      </c>
      <c r="Q126" s="26" t="s">
        <v>93</v>
      </c>
      <c r="R126" s="40">
        <f>(M126*P126)</f>
        <v>41.019999999999996</v>
      </c>
      <c r="T126" s="29"/>
      <c r="W126" s="31"/>
      <c r="X126" s="35"/>
      <c r="Y126" s="35"/>
      <c r="AG126" s="48"/>
      <c r="AQ126" s="29"/>
      <c r="AT126" s="31"/>
    </row>
    <row r="127" spans="1:50" ht="24" customHeight="1">
      <c r="A127" s="66"/>
      <c r="B127" s="66"/>
      <c r="C127" s="66"/>
      <c r="D127" s="66"/>
      <c r="H127" s="26" t="s">
        <v>280</v>
      </c>
      <c r="K127" s="40">
        <f>SUM(K124:K125)</f>
        <v>1752.8</v>
      </c>
      <c r="N127" s="38" t="s">
        <v>106</v>
      </c>
      <c r="O127" s="26" t="s">
        <v>107</v>
      </c>
      <c r="P127" s="26" t="s">
        <v>27</v>
      </c>
      <c r="Q127" s="26" t="s">
        <v>106</v>
      </c>
      <c r="R127" s="40">
        <v>0</v>
      </c>
      <c r="T127" s="29"/>
      <c r="U127" s="26"/>
      <c r="W127" s="31"/>
      <c r="X127" s="40"/>
      <c r="Y127" s="40"/>
      <c r="AG127" s="48"/>
      <c r="AQ127" s="29"/>
      <c r="AR127" s="42" t="s">
        <v>365</v>
      </c>
      <c r="AT127" s="31"/>
    </row>
    <row r="128" spans="1:50" ht="24" customHeight="1">
      <c r="A128" s="66"/>
      <c r="B128" s="66"/>
      <c r="C128" s="66"/>
      <c r="D128" s="66"/>
      <c r="K128" s="35" t="s">
        <v>48</v>
      </c>
      <c r="N128" s="29"/>
      <c r="Q128" s="31"/>
      <c r="R128" s="35" t="s">
        <v>48</v>
      </c>
      <c r="T128" s="29"/>
      <c r="W128" s="31"/>
      <c r="X128" s="35"/>
      <c r="Y128" s="35"/>
      <c r="AG128" s="48"/>
      <c r="AQ128" s="29"/>
      <c r="AR128" s="35" t="s">
        <v>48</v>
      </c>
      <c r="AT128" s="31"/>
    </row>
    <row r="129" spans="1:50" ht="38.25" customHeight="1">
      <c r="A129" s="66"/>
      <c r="B129" s="66"/>
      <c r="C129" s="66"/>
      <c r="D129" s="66"/>
      <c r="F129" s="91"/>
      <c r="H129" s="92" t="s">
        <v>366</v>
      </c>
      <c r="I129" s="41" t="s">
        <v>340</v>
      </c>
      <c r="K129" s="37">
        <f>ROUND(K127/10,2)</f>
        <v>175.28</v>
      </c>
      <c r="N129" s="29"/>
      <c r="O129" s="26" t="s">
        <v>116</v>
      </c>
      <c r="Q129" s="31"/>
      <c r="R129" s="40">
        <f>SUM(R125:R127)</f>
        <v>198.01999999999998</v>
      </c>
      <c r="S129" s="93"/>
      <c r="T129" s="29"/>
      <c r="U129" s="92"/>
      <c r="V129" s="41"/>
      <c r="W129" s="31"/>
      <c r="X129" s="37"/>
      <c r="Y129" s="37"/>
      <c r="AG129" s="48"/>
      <c r="AP129" s="64">
        <v>10</v>
      </c>
      <c r="AQ129" s="38" t="s">
        <v>67</v>
      </c>
      <c r="AR129" s="26" t="s">
        <v>367</v>
      </c>
      <c r="AT129" s="31"/>
    </row>
    <row r="130" spans="1:50" ht="24" customHeight="1">
      <c r="A130" s="66"/>
      <c r="B130" s="66"/>
      <c r="C130" s="66"/>
      <c r="D130" s="66"/>
      <c r="I130" s="41" t="s">
        <v>342</v>
      </c>
      <c r="K130" s="37">
        <f>ROUND(K129+C36,2)</f>
        <v>183.38</v>
      </c>
      <c r="T130" s="29"/>
      <c r="V130" s="41"/>
      <c r="W130" s="31"/>
      <c r="X130" s="37"/>
      <c r="Y130" s="37"/>
      <c r="AG130" s="48"/>
      <c r="AQ130" s="29"/>
      <c r="AR130" s="40" t="str">
        <f>AR61</f>
        <v>Bricks of size 23x11x7 cm</v>
      </c>
      <c r="AT130" s="31"/>
    </row>
    <row r="131" spans="1:50" ht="24" customHeight="1">
      <c r="A131" s="66"/>
      <c r="B131" s="66"/>
      <c r="C131" s="66"/>
      <c r="D131" s="66"/>
      <c r="I131" s="41"/>
      <c r="K131" s="35"/>
      <c r="T131" s="29"/>
      <c r="V131" s="41"/>
      <c r="W131" s="31"/>
      <c r="X131" s="35"/>
      <c r="Y131" s="35"/>
      <c r="AG131" s="48"/>
      <c r="AQ131" s="29"/>
      <c r="AR131" s="35" t="s">
        <v>48</v>
      </c>
      <c r="AT131" s="31"/>
    </row>
    <row r="132" spans="1:50" ht="24" customHeight="1">
      <c r="A132" s="66"/>
      <c r="B132" s="66"/>
      <c r="C132" s="66"/>
      <c r="D132" s="66"/>
      <c r="F132" s="77">
        <v>1.6</v>
      </c>
      <c r="H132" s="26" t="s">
        <v>368</v>
      </c>
      <c r="I132" s="41"/>
      <c r="S132" s="83">
        <v>1.6</v>
      </c>
      <c r="T132" s="29"/>
      <c r="U132" s="26" t="s">
        <v>368</v>
      </c>
      <c r="V132" s="41"/>
      <c r="W132" s="31"/>
      <c r="AG132" s="48"/>
      <c r="AP132" s="40">
        <f>AP63</f>
        <v>1300</v>
      </c>
      <c r="AQ132" s="38" t="s">
        <v>293</v>
      </c>
      <c r="AR132" s="40" t="str">
        <f>AR61</f>
        <v>Bricks of size 23x11x7 cm</v>
      </c>
      <c r="AS132" s="40">
        <f>AE45</f>
        <v>6714.95</v>
      </c>
      <c r="AT132" s="26" t="s">
        <v>294</v>
      </c>
      <c r="AU132" s="40">
        <f>(AP132*AS132)/1000</f>
        <v>8729.4349999999995</v>
      </c>
      <c r="AW132" s="28">
        <f t="shared" si="15"/>
        <v>1980.7088015000002</v>
      </c>
      <c r="AX132" s="28">
        <f t="shared" si="16"/>
        <v>6748.7261984999996</v>
      </c>
    </row>
    <row r="133" spans="1:50" ht="24" customHeight="1">
      <c r="A133" s="66"/>
      <c r="B133" s="66"/>
      <c r="C133" s="66"/>
      <c r="D133" s="66"/>
      <c r="H133" s="26" t="s">
        <v>369</v>
      </c>
      <c r="I133" s="41" t="s">
        <v>340</v>
      </c>
      <c r="K133" s="39">
        <f>C61*1.5</f>
        <v>176.39999999999998</v>
      </c>
      <c r="L133" s="39"/>
      <c r="M133" s="28">
        <f>M116*1.5</f>
        <v>34.799999999999997</v>
      </c>
      <c r="T133" s="29"/>
      <c r="U133" s="26" t="s">
        <v>369</v>
      </c>
      <c r="V133" s="41" t="s">
        <v>340</v>
      </c>
      <c r="W133" s="31"/>
      <c r="X133" s="39">
        <f>V81*1.5</f>
        <v>117.80999999999999</v>
      </c>
      <c r="Y133" s="39"/>
      <c r="AG133" s="48"/>
      <c r="AP133" s="76">
        <v>0.70799999999999996</v>
      </c>
      <c r="AQ133" s="38" t="s">
        <v>93</v>
      </c>
      <c r="AR133" s="26" t="s">
        <v>218</v>
      </c>
      <c r="AS133" s="40">
        <f>K40</f>
        <v>4975.6400000000003</v>
      </c>
      <c r="AT133" s="26" t="s">
        <v>93</v>
      </c>
      <c r="AU133" s="40">
        <f>(AP133*AS133)</f>
        <v>3522.7531199999999</v>
      </c>
      <c r="AW133" s="28">
        <f t="shared" si="15"/>
        <v>799.31268292799996</v>
      </c>
      <c r="AX133" s="28">
        <f t="shared" si="16"/>
        <v>2723.4404370719999</v>
      </c>
    </row>
    <row r="134" spans="1:50" ht="24" customHeight="1">
      <c r="A134" s="66"/>
      <c r="B134" s="66"/>
      <c r="C134" s="66"/>
      <c r="D134" s="66"/>
      <c r="F134" s="26" t="s">
        <v>27</v>
      </c>
      <c r="H134" s="26" t="s">
        <v>370</v>
      </c>
      <c r="I134" s="41" t="s">
        <v>342</v>
      </c>
      <c r="K134" s="37">
        <f>ROUND(K133+C36,2)</f>
        <v>184.5</v>
      </c>
      <c r="S134" s="85" t="s">
        <v>27</v>
      </c>
      <c r="T134" s="29"/>
      <c r="U134" s="26" t="s">
        <v>370</v>
      </c>
      <c r="V134" s="41" t="s">
        <v>342</v>
      </c>
      <c r="W134" s="31"/>
      <c r="X134" s="37">
        <f>ROUND(X133+C36,2)</f>
        <v>125.91</v>
      </c>
      <c r="Y134" s="37"/>
      <c r="AG134" s="48"/>
      <c r="AP134" s="40">
        <v>1</v>
      </c>
      <c r="AQ134" s="38" t="s">
        <v>105</v>
      </c>
      <c r="AR134" s="26" t="s">
        <v>298</v>
      </c>
      <c r="AS134" s="40">
        <f>AS109</f>
        <v>1076.5999999999999</v>
      </c>
      <c r="AT134" s="26" t="s">
        <v>105</v>
      </c>
      <c r="AU134" s="40">
        <f>(AP134*AS134)</f>
        <v>1076.5999999999999</v>
      </c>
      <c r="AW134" s="28">
        <f t="shared" si="15"/>
        <v>244.28054</v>
      </c>
      <c r="AX134" s="28">
        <f t="shared" si="16"/>
        <v>832.31945999999994</v>
      </c>
    </row>
    <row r="135" spans="1:50" ht="24" customHeight="1">
      <c r="A135" s="66"/>
      <c r="B135" s="66"/>
      <c r="C135" s="66"/>
      <c r="D135" s="66"/>
      <c r="K135" s="35" t="s">
        <v>41</v>
      </c>
      <c r="T135" s="29"/>
      <c r="W135" s="31"/>
      <c r="X135" s="35" t="s">
        <v>41</v>
      </c>
      <c r="Y135" s="35"/>
      <c r="AG135" s="48"/>
      <c r="AP135" s="40">
        <v>3</v>
      </c>
      <c r="AQ135" s="38" t="s">
        <v>105</v>
      </c>
      <c r="AR135" s="26" t="s">
        <v>269</v>
      </c>
      <c r="AS135" s="40">
        <f>AS110</f>
        <v>1005.1999999999999</v>
      </c>
      <c r="AT135" s="26" t="s">
        <v>105</v>
      </c>
      <c r="AU135" s="40">
        <f>(AP135*AS135)</f>
        <v>3015.6</v>
      </c>
      <c r="AW135" s="28">
        <f t="shared" si="15"/>
        <v>684.23964000000012</v>
      </c>
      <c r="AX135" s="28">
        <f t="shared" si="16"/>
        <v>2331.3603599999997</v>
      </c>
    </row>
    <row r="136" spans="1:50" ht="24" customHeight="1">
      <c r="A136" s="66"/>
      <c r="B136" s="66"/>
      <c r="C136" s="66"/>
      <c r="D136" s="66"/>
      <c r="H136" s="30" t="s">
        <v>371</v>
      </c>
      <c r="I136" s="41" t="s">
        <v>340</v>
      </c>
      <c r="K136" s="39">
        <f>C61*1.25</f>
        <v>147</v>
      </c>
      <c r="T136" s="29"/>
      <c r="U136" s="30" t="s">
        <v>372</v>
      </c>
      <c r="V136" s="41" t="s">
        <v>340</v>
      </c>
      <c r="W136" s="31"/>
      <c r="X136" s="39">
        <f>V81*1.25</f>
        <v>98.174999999999983</v>
      </c>
      <c r="Y136" s="39"/>
      <c r="AG136" s="48"/>
      <c r="AP136" s="40">
        <v>2</v>
      </c>
      <c r="AQ136" s="38" t="s">
        <v>105</v>
      </c>
      <c r="AR136" s="26" t="s">
        <v>271</v>
      </c>
      <c r="AS136" s="40">
        <f>AS111</f>
        <v>702.8</v>
      </c>
      <c r="AT136" s="26" t="s">
        <v>105</v>
      </c>
      <c r="AU136" s="40">
        <f>(AP136*AS136)</f>
        <v>1405.6</v>
      </c>
      <c r="AW136" s="28">
        <f t="shared" si="15"/>
        <v>318.93063999999998</v>
      </c>
      <c r="AX136" s="28">
        <f t="shared" si="16"/>
        <v>1086.6693599999999</v>
      </c>
    </row>
    <row r="137" spans="1:50" ht="24" customHeight="1">
      <c r="A137" s="50">
        <f>(A91+1)</f>
        <v>80</v>
      </c>
      <c r="B137" s="51" t="s">
        <v>373</v>
      </c>
      <c r="C137" s="52">
        <f>AE30</f>
        <v>11559</v>
      </c>
      <c r="D137" s="94">
        <v>13.87</v>
      </c>
      <c r="E137" s="26" t="s">
        <v>27</v>
      </c>
      <c r="F137" s="27" t="s">
        <v>359</v>
      </c>
      <c r="G137" s="38" t="s">
        <v>67</v>
      </c>
      <c r="H137" s="26" t="s">
        <v>360</v>
      </c>
      <c r="M137" s="27" t="s">
        <v>359</v>
      </c>
      <c r="N137" s="38" t="s">
        <v>67</v>
      </c>
      <c r="O137" s="26" t="s">
        <v>360</v>
      </c>
      <c r="Q137" s="31"/>
      <c r="AG137" s="48"/>
      <c r="AI137" s="26"/>
      <c r="AP137" s="40">
        <v>6</v>
      </c>
      <c r="AQ137" s="38" t="s">
        <v>105</v>
      </c>
      <c r="AR137" s="26" t="s">
        <v>276</v>
      </c>
      <c r="AS137" s="40">
        <f>AS112</f>
        <v>576.79999999999995</v>
      </c>
      <c r="AT137" s="26" t="s">
        <v>105</v>
      </c>
      <c r="AU137" s="40">
        <f>(AP137*AS137)</f>
        <v>3460.7999999999997</v>
      </c>
      <c r="AW137" s="28">
        <f t="shared" si="15"/>
        <v>785.25551999999993</v>
      </c>
      <c r="AX137" s="28">
        <f t="shared" si="16"/>
        <v>2675.5444799999996</v>
      </c>
    </row>
    <row r="138" spans="1:50" ht="24" customHeight="1">
      <c r="A138" s="50">
        <f t="shared" ref="A138:A143" si="17">(A137+1)</f>
        <v>81</v>
      </c>
      <c r="B138" s="51" t="s">
        <v>374</v>
      </c>
      <c r="C138" s="52">
        <f>AE33</f>
        <v>45000</v>
      </c>
      <c r="D138" s="51" t="s">
        <v>84</v>
      </c>
      <c r="H138" s="26" t="s">
        <v>375</v>
      </c>
      <c r="N138" s="29"/>
      <c r="O138" s="26" t="s">
        <v>376</v>
      </c>
      <c r="Q138" s="31"/>
      <c r="AG138" s="48"/>
      <c r="AI138" s="26"/>
      <c r="AQ138" s="38" t="s">
        <v>106</v>
      </c>
      <c r="AR138" s="26" t="s">
        <v>107</v>
      </c>
      <c r="AS138" s="26" t="s">
        <v>27</v>
      </c>
      <c r="AT138" s="26" t="s">
        <v>106</v>
      </c>
      <c r="AU138" s="40">
        <v>0</v>
      </c>
      <c r="AW138" s="28">
        <f t="shared" si="15"/>
        <v>0</v>
      </c>
      <c r="AX138" s="28">
        <f t="shared" si="16"/>
        <v>0</v>
      </c>
    </row>
    <row r="139" spans="1:50" ht="24" customHeight="1">
      <c r="A139" s="50">
        <f t="shared" si="17"/>
        <v>82</v>
      </c>
      <c r="B139" s="51" t="s">
        <v>377</v>
      </c>
      <c r="C139" s="52">
        <f>AE32</f>
        <v>45000</v>
      </c>
      <c r="D139" s="51" t="s">
        <v>84</v>
      </c>
      <c r="H139" s="35" t="s">
        <v>48</v>
      </c>
      <c r="N139" s="29"/>
      <c r="O139" s="35" t="s">
        <v>48</v>
      </c>
      <c r="Q139" s="31"/>
      <c r="AG139" s="48"/>
      <c r="AI139" s="26"/>
      <c r="AQ139" s="29"/>
      <c r="AT139" s="31"/>
      <c r="AU139" s="35" t="s">
        <v>48</v>
      </c>
      <c r="AW139" s="28">
        <f t="shared" si="15"/>
        <v>0</v>
      </c>
      <c r="AX139" s="28">
        <f t="shared" si="16"/>
        <v>0</v>
      </c>
    </row>
    <row r="140" spans="1:50" ht="24" customHeight="1">
      <c r="A140" s="50">
        <f t="shared" si="17"/>
        <v>83</v>
      </c>
      <c r="B140" s="51" t="s">
        <v>378</v>
      </c>
      <c r="C140" s="52">
        <f>AE33</f>
        <v>45000</v>
      </c>
      <c r="D140" s="51" t="s">
        <v>84</v>
      </c>
      <c r="F140" s="40">
        <v>1</v>
      </c>
      <c r="G140" s="38" t="s">
        <v>93</v>
      </c>
      <c r="H140" s="26" t="s">
        <v>379</v>
      </c>
      <c r="I140" s="40">
        <f>I36</f>
        <v>2765.84</v>
      </c>
      <c r="J140" s="26" t="s">
        <v>93</v>
      </c>
      <c r="K140" s="40">
        <f>(F140*I140)</f>
        <v>2765.84</v>
      </c>
      <c r="M140" s="40">
        <v>1</v>
      </c>
      <c r="N140" s="38" t="s">
        <v>93</v>
      </c>
      <c r="O140" s="26" t="s">
        <v>364</v>
      </c>
      <c r="P140" s="40">
        <f>AE38</f>
        <v>210</v>
      </c>
      <c r="Q140" s="26" t="s">
        <v>93</v>
      </c>
      <c r="R140" s="40">
        <f>(M140*P140)</f>
        <v>210</v>
      </c>
      <c r="AG140" s="48"/>
      <c r="AI140" s="26"/>
      <c r="AQ140" s="29"/>
      <c r="AR140" s="26" t="s">
        <v>280</v>
      </c>
      <c r="AT140" s="31"/>
      <c r="AU140" s="40">
        <f>SUM(AU132:AU138)</f>
        <v>21210.788119999997</v>
      </c>
      <c r="AW140" s="28">
        <f t="shared" si="15"/>
        <v>4812.7278244279996</v>
      </c>
      <c r="AX140" s="28">
        <f t="shared" si="16"/>
        <v>16398.060295571999</v>
      </c>
    </row>
    <row r="141" spans="1:50" ht="24" customHeight="1">
      <c r="A141" s="50">
        <f t="shared" si="17"/>
        <v>84</v>
      </c>
      <c r="B141" s="51" t="s">
        <v>380</v>
      </c>
      <c r="C141" s="52">
        <f>AE38</f>
        <v>210</v>
      </c>
      <c r="D141" s="51" t="s">
        <v>93</v>
      </c>
      <c r="F141" s="40">
        <v>1</v>
      </c>
      <c r="G141" s="38" t="s">
        <v>93</v>
      </c>
      <c r="H141" s="26" t="s">
        <v>177</v>
      </c>
      <c r="I141" s="40">
        <f>C27</f>
        <v>35.979999999999997</v>
      </c>
      <c r="J141" s="26" t="s">
        <v>93</v>
      </c>
      <c r="K141" s="40">
        <f>(F141*I141)</f>
        <v>35.979999999999997</v>
      </c>
      <c r="M141" s="40">
        <v>1</v>
      </c>
      <c r="N141" s="38" t="s">
        <v>93</v>
      </c>
      <c r="O141" s="26" t="s">
        <v>177</v>
      </c>
      <c r="P141" s="40">
        <f>C26</f>
        <v>41.019999999999996</v>
      </c>
      <c r="Q141" s="26" t="s">
        <v>93</v>
      </c>
      <c r="R141" s="40">
        <f>(M141*P141)</f>
        <v>41.019999999999996</v>
      </c>
      <c r="AG141" s="48"/>
      <c r="AI141" s="26"/>
      <c r="AQ141" s="29"/>
      <c r="AT141" s="31"/>
      <c r="AU141" s="35" t="s">
        <v>48</v>
      </c>
      <c r="AW141" s="28">
        <f t="shared" si="15"/>
        <v>0</v>
      </c>
      <c r="AX141" s="28">
        <f t="shared" si="16"/>
        <v>0</v>
      </c>
    </row>
    <row r="142" spans="1:50" ht="24" customHeight="1">
      <c r="A142" s="50">
        <f t="shared" si="17"/>
        <v>85</v>
      </c>
      <c r="B142" s="51" t="s">
        <v>381</v>
      </c>
      <c r="C142" s="52">
        <v>43563.69</v>
      </c>
      <c r="D142" s="51" t="s">
        <v>84</v>
      </c>
      <c r="G142" s="38" t="s">
        <v>106</v>
      </c>
      <c r="H142" s="26" t="s">
        <v>107</v>
      </c>
      <c r="I142" s="26" t="s">
        <v>27</v>
      </c>
      <c r="J142" s="26" t="s">
        <v>106</v>
      </c>
      <c r="K142" s="40">
        <v>0</v>
      </c>
      <c r="N142" s="38" t="s">
        <v>106</v>
      </c>
      <c r="O142" s="26" t="s">
        <v>107</v>
      </c>
      <c r="P142" s="26" t="s">
        <v>27</v>
      </c>
      <c r="Q142" s="26" t="s">
        <v>106</v>
      </c>
      <c r="R142" s="40">
        <v>0</v>
      </c>
      <c r="AG142" s="48"/>
      <c r="AI142" s="26"/>
      <c r="AQ142" s="29"/>
      <c r="AR142" s="26" t="s">
        <v>201</v>
      </c>
      <c r="AT142" s="31"/>
      <c r="AU142" s="40">
        <f>(AU140/2.83168)</f>
        <v>7490.5314583568752</v>
      </c>
      <c r="AW142" s="28">
        <f t="shared" si="15"/>
        <v>1699.601587901175</v>
      </c>
      <c r="AX142" s="28">
        <f t="shared" si="16"/>
        <v>5790.9298704557004</v>
      </c>
    </row>
    <row r="143" spans="1:50" ht="24" customHeight="1">
      <c r="A143" s="50">
        <f t="shared" si="17"/>
        <v>86</v>
      </c>
      <c r="B143" s="51" t="s">
        <v>382</v>
      </c>
      <c r="C143" s="47">
        <v>43750</v>
      </c>
      <c r="D143" s="51" t="s">
        <v>84</v>
      </c>
      <c r="E143" s="28">
        <v>5</v>
      </c>
      <c r="K143" s="35" t="s">
        <v>48</v>
      </c>
      <c r="N143" s="29"/>
      <c r="Q143" s="31"/>
      <c r="R143" s="35" t="s">
        <v>48</v>
      </c>
      <c r="AG143" s="48"/>
      <c r="AI143" s="26"/>
      <c r="AQ143" s="29"/>
      <c r="AT143" s="31"/>
      <c r="AU143" s="35" t="s">
        <v>41</v>
      </c>
      <c r="AW143" s="28">
        <f t="shared" si="15"/>
        <v>0</v>
      </c>
      <c r="AX143" s="28">
        <f t="shared" si="16"/>
        <v>0</v>
      </c>
    </row>
    <row r="144" spans="1:50" ht="24" customHeight="1">
      <c r="A144" s="66"/>
      <c r="B144" s="51" t="s">
        <v>27</v>
      </c>
      <c r="C144" s="66"/>
      <c r="D144" s="66"/>
      <c r="H144" s="26" t="s">
        <v>383</v>
      </c>
      <c r="K144" s="39">
        <f>SUM(K138:K142)</f>
        <v>2801.82</v>
      </c>
      <c r="N144" s="29"/>
      <c r="O144" s="26" t="s">
        <v>116</v>
      </c>
      <c r="Q144" s="31"/>
      <c r="R144" s="40">
        <f>SUM(R140:R142)</f>
        <v>251.01999999999998</v>
      </c>
      <c r="AG144" s="48"/>
      <c r="AI144" s="26"/>
      <c r="AQ144" s="29"/>
      <c r="AT144" s="31"/>
      <c r="AW144" s="28">
        <f t="shared" si="15"/>
        <v>0</v>
      </c>
      <c r="AX144" s="28">
        <f t="shared" si="16"/>
        <v>0</v>
      </c>
    </row>
    <row r="145" spans="1:50" ht="24" customHeight="1">
      <c r="A145" s="50">
        <f>(A143+1)</f>
        <v>87</v>
      </c>
      <c r="B145" s="51" t="s">
        <v>384</v>
      </c>
      <c r="C145" s="63">
        <v>7.5</v>
      </c>
      <c r="D145" s="51" t="s">
        <v>106</v>
      </c>
      <c r="K145" s="35" t="s">
        <v>48</v>
      </c>
      <c r="N145" s="29"/>
      <c r="O145" s="26" t="s">
        <v>385</v>
      </c>
      <c r="Q145" s="31"/>
      <c r="R145" s="35" t="s">
        <v>48</v>
      </c>
      <c r="AG145" s="48"/>
      <c r="AI145" s="26"/>
      <c r="AQ145" s="38" t="s">
        <v>386</v>
      </c>
      <c r="AR145" s="26" t="s">
        <v>387</v>
      </c>
      <c r="AT145" s="31"/>
      <c r="AW145" s="28">
        <f t="shared" si="15"/>
        <v>0</v>
      </c>
      <c r="AX145" s="28">
        <f t="shared" si="16"/>
        <v>0</v>
      </c>
    </row>
    <row r="146" spans="1:50" ht="24" customHeight="1">
      <c r="A146" s="66"/>
      <c r="B146" s="26" t="s">
        <v>388</v>
      </c>
      <c r="C146" s="49">
        <v>15.5</v>
      </c>
      <c r="D146" s="66"/>
      <c r="F146" s="27" t="s">
        <v>389</v>
      </c>
      <c r="G146" s="38" t="s">
        <v>67</v>
      </c>
      <c r="H146" s="26" t="s">
        <v>390</v>
      </c>
      <c r="AG146" s="48"/>
      <c r="AQ146" s="29"/>
      <c r="AR146" s="35" t="s">
        <v>48</v>
      </c>
      <c r="AT146" s="31"/>
      <c r="AW146" s="28">
        <f t="shared" si="15"/>
        <v>0</v>
      </c>
      <c r="AX146" s="28">
        <f t="shared" si="16"/>
        <v>0</v>
      </c>
    </row>
    <row r="147" spans="1:50" ht="24" customHeight="1">
      <c r="A147" s="50">
        <f>(A145+1)</f>
        <v>88</v>
      </c>
      <c r="B147" s="51" t="s">
        <v>391</v>
      </c>
      <c r="C147" s="52">
        <v>15.25</v>
      </c>
      <c r="D147" s="51" t="s">
        <v>392</v>
      </c>
      <c r="H147" s="26" t="s">
        <v>393</v>
      </c>
      <c r="M147" s="27" t="s">
        <v>359</v>
      </c>
      <c r="N147" s="38" t="s">
        <v>67</v>
      </c>
      <c r="O147" s="26" t="s">
        <v>360</v>
      </c>
      <c r="Q147" s="31"/>
      <c r="AG147" s="48"/>
      <c r="AP147" s="40">
        <v>1.1000000000000001</v>
      </c>
      <c r="AQ147" s="38" t="s">
        <v>93</v>
      </c>
      <c r="AR147" s="26" t="s">
        <v>394</v>
      </c>
      <c r="AS147" s="40">
        <f>(AU142)</f>
        <v>7490.5314583568752</v>
      </c>
      <c r="AT147" s="26" t="s">
        <v>93</v>
      </c>
      <c r="AU147" s="48">
        <f>(AP147*AS147)</f>
        <v>8239.5846041925633</v>
      </c>
      <c r="AW147" s="28">
        <f t="shared" si="15"/>
        <v>1869.5617466912927</v>
      </c>
      <c r="AX147" s="28">
        <f t="shared" si="16"/>
        <v>6370.0228575012707</v>
      </c>
    </row>
    <row r="148" spans="1:50" ht="24" customHeight="1">
      <c r="A148" s="50">
        <f>(A147+1)</f>
        <v>89</v>
      </c>
      <c r="B148" s="51" t="s">
        <v>395</v>
      </c>
      <c r="C148" s="49">
        <v>142.4</v>
      </c>
      <c r="D148" s="51" t="s">
        <v>392</v>
      </c>
      <c r="H148" s="26" t="s">
        <v>396</v>
      </c>
      <c r="N148" s="29"/>
      <c r="O148" s="26" t="s">
        <v>397</v>
      </c>
      <c r="Q148" s="31"/>
      <c r="AG148" s="48"/>
      <c r="AP148" s="40">
        <v>1</v>
      </c>
      <c r="AQ148" s="38" t="s">
        <v>196</v>
      </c>
      <c r="AR148" s="26" t="s">
        <v>298</v>
      </c>
      <c r="AS148" s="40">
        <f>AS134</f>
        <v>1076.5999999999999</v>
      </c>
      <c r="AT148" s="26" t="s">
        <v>105</v>
      </c>
      <c r="AU148" s="48">
        <f>(AP148*AS148)</f>
        <v>1076.5999999999999</v>
      </c>
      <c r="AW148" s="28">
        <f t="shared" si="15"/>
        <v>244.28054</v>
      </c>
      <c r="AX148" s="28">
        <f t="shared" si="16"/>
        <v>832.31945999999994</v>
      </c>
    </row>
    <row r="149" spans="1:50" ht="24" customHeight="1">
      <c r="A149" s="66"/>
      <c r="B149" s="66"/>
      <c r="C149" s="66"/>
      <c r="D149" s="66"/>
      <c r="H149" s="26" t="s">
        <v>398</v>
      </c>
      <c r="N149" s="29"/>
      <c r="O149" s="35" t="s">
        <v>48</v>
      </c>
      <c r="Q149" s="31"/>
      <c r="AG149" s="48"/>
      <c r="AQ149" s="38" t="s">
        <v>106</v>
      </c>
      <c r="AR149" s="26" t="s">
        <v>107</v>
      </c>
      <c r="AS149" s="26" t="s">
        <v>27</v>
      </c>
      <c r="AT149" s="26" t="s">
        <v>106</v>
      </c>
      <c r="AU149" s="48">
        <v>0</v>
      </c>
      <c r="AW149" s="28">
        <f t="shared" si="15"/>
        <v>0</v>
      </c>
      <c r="AX149" s="28">
        <f t="shared" si="16"/>
        <v>0</v>
      </c>
    </row>
    <row r="150" spans="1:50" ht="24" customHeight="1">
      <c r="A150" s="66"/>
      <c r="B150" s="66"/>
      <c r="C150" s="66"/>
      <c r="D150" s="66"/>
      <c r="H150" s="26" t="s">
        <v>399</v>
      </c>
      <c r="M150" s="40">
        <v>1</v>
      </c>
      <c r="N150" s="38" t="s">
        <v>93</v>
      </c>
      <c r="O150" s="26" t="s">
        <v>400</v>
      </c>
      <c r="P150" s="40">
        <f>AE43</f>
        <v>120.1</v>
      </c>
      <c r="Q150" s="26" t="s">
        <v>93</v>
      </c>
      <c r="R150" s="40">
        <f>(M150*P150)</f>
        <v>120.1</v>
      </c>
      <c r="AG150" s="48"/>
      <c r="AQ150" s="29"/>
      <c r="AT150" s="31"/>
      <c r="AU150" s="95" t="s">
        <v>48</v>
      </c>
      <c r="AW150" s="28">
        <f t="shared" si="15"/>
        <v>0</v>
      </c>
      <c r="AX150" s="28">
        <f t="shared" si="16"/>
        <v>0</v>
      </c>
    </row>
    <row r="151" spans="1:50" ht="24" customHeight="1">
      <c r="A151" s="66"/>
      <c r="B151" s="66"/>
      <c r="C151" s="66"/>
      <c r="D151" s="66"/>
      <c r="H151" s="35" t="s">
        <v>48</v>
      </c>
      <c r="M151" s="40">
        <v>1</v>
      </c>
      <c r="N151" s="38" t="s">
        <v>93</v>
      </c>
      <c r="O151" s="26" t="s">
        <v>177</v>
      </c>
      <c r="P151" s="40">
        <f>AG28</f>
        <v>41.019999999999996</v>
      </c>
      <c r="Q151" s="26" t="s">
        <v>93</v>
      </c>
      <c r="R151" s="40">
        <f>(M151*P151)</f>
        <v>41.019999999999996</v>
      </c>
      <c r="AG151" s="48"/>
      <c r="AQ151" s="29"/>
      <c r="AR151" s="26" t="s">
        <v>401</v>
      </c>
      <c r="AT151" s="31"/>
      <c r="AU151" s="39">
        <f>SUM(AU147:AU149)</f>
        <v>9316.1846041925637</v>
      </c>
      <c r="AW151" s="28">
        <f t="shared" si="15"/>
        <v>2113.8422866912929</v>
      </c>
      <c r="AX151" s="28">
        <f t="shared" si="16"/>
        <v>7202.3423175012704</v>
      </c>
    </row>
    <row r="152" spans="1:50" ht="24" customHeight="1">
      <c r="A152" s="66"/>
      <c r="B152" s="66"/>
      <c r="C152" s="66"/>
      <c r="D152" s="66"/>
      <c r="F152" s="40">
        <v>0.7</v>
      </c>
      <c r="G152" s="38" t="s">
        <v>93</v>
      </c>
      <c r="H152" s="26" t="s">
        <v>160</v>
      </c>
      <c r="I152" s="40">
        <f>C79</f>
        <v>2765.84</v>
      </c>
      <c r="J152" s="26" t="s">
        <v>93</v>
      </c>
      <c r="K152" s="40">
        <f t="shared" ref="K152:K157" si="18">(F152*I152)</f>
        <v>1936.088</v>
      </c>
      <c r="N152" s="38" t="s">
        <v>106</v>
      </c>
      <c r="O152" s="26" t="s">
        <v>107</v>
      </c>
      <c r="P152" s="26" t="s">
        <v>27</v>
      </c>
      <c r="Q152" s="26" t="s">
        <v>106</v>
      </c>
      <c r="R152" s="40">
        <v>0</v>
      </c>
      <c r="AG152" s="48"/>
      <c r="AQ152" s="29"/>
      <c r="AT152" s="31"/>
      <c r="AU152" s="95" t="s">
        <v>48</v>
      </c>
      <c r="AW152" s="28">
        <f t="shared" si="15"/>
        <v>0</v>
      </c>
      <c r="AX152" s="28">
        <f t="shared" si="16"/>
        <v>0</v>
      </c>
    </row>
    <row r="153" spans="1:50" ht="24" customHeight="1">
      <c r="A153" s="66"/>
      <c r="B153" s="66"/>
      <c r="C153" s="66"/>
      <c r="D153" s="66"/>
      <c r="F153" s="40">
        <v>0.7</v>
      </c>
      <c r="G153" s="38" t="s">
        <v>93</v>
      </c>
      <c r="H153" s="96" t="s">
        <v>402</v>
      </c>
      <c r="I153" s="97">
        <f>C812</f>
        <v>3.15</v>
      </c>
      <c r="J153" s="26" t="s">
        <v>93</v>
      </c>
      <c r="K153" s="40">
        <f t="shared" si="18"/>
        <v>2.2049999999999996</v>
      </c>
      <c r="N153" s="29"/>
      <c r="Q153" s="31"/>
      <c r="R153" s="35" t="s">
        <v>48</v>
      </c>
      <c r="AG153" s="48"/>
      <c r="AQ153" s="29"/>
      <c r="AR153" s="26" t="s">
        <v>403</v>
      </c>
      <c r="AT153" s="31"/>
      <c r="AU153" s="48">
        <f>(AU151/10)</f>
        <v>931.61846041925639</v>
      </c>
      <c r="AW153" s="28">
        <f t="shared" si="15"/>
        <v>211.3842286691293</v>
      </c>
      <c r="AX153" s="28">
        <f t="shared" si="16"/>
        <v>720.23423175012704</v>
      </c>
    </row>
    <row r="154" spans="1:50" ht="24" customHeight="1">
      <c r="A154" s="66"/>
      <c r="B154" s="66"/>
      <c r="C154" s="66"/>
      <c r="D154" s="66"/>
      <c r="F154" s="40">
        <v>0.72</v>
      </c>
      <c r="G154" s="38" t="s">
        <v>93</v>
      </c>
      <c r="H154" s="26" t="s">
        <v>404</v>
      </c>
      <c r="I154" s="40">
        <f>C35</f>
        <v>210</v>
      </c>
      <c r="J154" s="26" t="s">
        <v>93</v>
      </c>
      <c r="K154" s="40">
        <f t="shared" si="18"/>
        <v>151.19999999999999</v>
      </c>
      <c r="N154" s="29"/>
      <c r="O154" s="26" t="s">
        <v>116</v>
      </c>
      <c r="Q154" s="31"/>
      <c r="R154" s="40">
        <f>SUM(R150:R152)</f>
        <v>161.12</v>
      </c>
      <c r="AG154" s="48"/>
      <c r="AQ154" s="29"/>
      <c r="AT154" s="31"/>
      <c r="AU154" s="95" t="s">
        <v>41</v>
      </c>
      <c r="AW154" s="28">
        <f t="shared" si="15"/>
        <v>0</v>
      </c>
      <c r="AX154" s="28">
        <f t="shared" si="16"/>
        <v>0</v>
      </c>
    </row>
    <row r="155" spans="1:50" ht="24" customHeight="1">
      <c r="A155" s="66"/>
      <c r="B155" s="66"/>
      <c r="C155" s="66"/>
      <c r="D155" s="66"/>
      <c r="F155" s="40">
        <v>0.72</v>
      </c>
      <c r="G155" s="38" t="s">
        <v>93</v>
      </c>
      <c r="H155" s="96" t="s">
        <v>402</v>
      </c>
      <c r="I155" s="97">
        <f>C812</f>
        <v>3.15</v>
      </c>
      <c r="J155" s="26" t="s">
        <v>93</v>
      </c>
      <c r="K155" s="40">
        <f t="shared" si="18"/>
        <v>2.2679999999999998</v>
      </c>
      <c r="N155" s="29"/>
      <c r="O155" s="26" t="s">
        <v>385</v>
      </c>
      <c r="Q155" s="31"/>
      <c r="R155" s="35" t="s">
        <v>48</v>
      </c>
      <c r="AG155" s="48"/>
      <c r="AQ155" s="29"/>
      <c r="AR155" s="26" t="s">
        <v>309</v>
      </c>
      <c r="AT155" s="31">
        <f>AU155-AU153</f>
        <v>9.116800000000012</v>
      </c>
      <c r="AU155" s="39">
        <f>(AU153+C19/10*AP147)</f>
        <v>940.73526041925641</v>
      </c>
      <c r="AV155" s="28">
        <f>AU153-AU155</f>
        <v>-9.116800000000012</v>
      </c>
      <c r="AW155" s="28">
        <f t="shared" si="15"/>
        <v>213.45283058912929</v>
      </c>
      <c r="AX155" s="28">
        <f t="shared" si="16"/>
        <v>727.28242983012706</v>
      </c>
    </row>
    <row r="156" spans="1:50" ht="24" customHeight="1">
      <c r="A156" s="66"/>
      <c r="B156" s="66"/>
      <c r="C156" s="66"/>
      <c r="D156" s="66"/>
      <c r="F156" s="40">
        <v>1</v>
      </c>
      <c r="G156" s="38" t="s">
        <v>93</v>
      </c>
      <c r="H156" s="26" t="s">
        <v>170</v>
      </c>
      <c r="I156" s="40">
        <f>C18</f>
        <v>121.8</v>
      </c>
      <c r="J156" s="26" t="s">
        <v>93</v>
      </c>
      <c r="K156" s="40">
        <f t="shared" si="18"/>
        <v>121.8</v>
      </c>
      <c r="AG156" s="48"/>
      <c r="AQ156" s="29"/>
      <c r="AR156" s="26" t="s">
        <v>313</v>
      </c>
      <c r="AT156" s="31">
        <f>AU156-AU155</f>
        <v>18.372200000000021</v>
      </c>
      <c r="AU156" s="39">
        <f>(AU155+C20/10*AP147)</f>
        <v>959.10746041925643</v>
      </c>
      <c r="AV156" s="28">
        <f>AU156-AU155</f>
        <v>18.372200000000021</v>
      </c>
      <c r="AW156" s="28">
        <f t="shared" si="15"/>
        <v>217.6214827691293</v>
      </c>
      <c r="AX156" s="28">
        <f t="shared" si="16"/>
        <v>741.4859776501271</v>
      </c>
    </row>
    <row r="157" spans="1:50" ht="24" customHeight="1">
      <c r="A157" s="66"/>
      <c r="B157" s="66"/>
      <c r="C157" s="66"/>
      <c r="D157" s="66"/>
      <c r="F157" s="40">
        <v>1</v>
      </c>
      <c r="G157" s="38" t="s">
        <v>93</v>
      </c>
      <c r="H157" s="96" t="s">
        <v>405</v>
      </c>
      <c r="I157" s="98">
        <f>C146</f>
        <v>15.5</v>
      </c>
      <c r="J157" s="26" t="s">
        <v>93</v>
      </c>
      <c r="K157" s="40">
        <f t="shared" si="18"/>
        <v>15.5</v>
      </c>
      <c r="AG157" s="48"/>
      <c r="AQ157" s="29"/>
      <c r="AR157" s="26" t="s">
        <v>316</v>
      </c>
      <c r="AT157" s="31">
        <f>AU157-AU156</f>
        <v>18.372200000000021</v>
      </c>
      <c r="AU157" s="39">
        <f>(AU156+C21/10*AP147)</f>
        <v>977.47966041925645</v>
      </c>
      <c r="AW157" s="28">
        <f t="shared" si="15"/>
        <v>221.79013494912931</v>
      </c>
      <c r="AX157" s="28">
        <f t="shared" si="16"/>
        <v>755.68952547012714</v>
      </c>
    </row>
    <row r="158" spans="1:50" ht="24" customHeight="1">
      <c r="A158" s="66"/>
      <c r="B158" s="66"/>
      <c r="C158" s="66"/>
      <c r="D158" s="66"/>
      <c r="H158" s="26" t="s">
        <v>406</v>
      </c>
      <c r="AG158" s="48"/>
      <c r="AQ158" s="29"/>
      <c r="AR158" s="26" t="s">
        <v>318</v>
      </c>
      <c r="AT158" s="31">
        <f>AU158-AU157</f>
        <v>18.372200000000021</v>
      </c>
      <c r="AU158" s="39">
        <f>(AU157+C21/10*AP147)</f>
        <v>995.85186041925647</v>
      </c>
      <c r="AW158" s="28">
        <f t="shared" si="15"/>
        <v>225.95878712912929</v>
      </c>
      <c r="AX158" s="28">
        <f t="shared" si="16"/>
        <v>769.89307329012718</v>
      </c>
    </row>
    <row r="159" spans="1:50" ht="24" customHeight="1">
      <c r="A159" s="66"/>
      <c r="B159" s="66"/>
      <c r="C159" s="66"/>
      <c r="D159" s="66"/>
      <c r="G159" s="38" t="s">
        <v>106</v>
      </c>
      <c r="H159" s="26" t="s">
        <v>107</v>
      </c>
      <c r="I159" s="26" t="s">
        <v>27</v>
      </c>
      <c r="J159" s="26" t="s">
        <v>106</v>
      </c>
      <c r="K159" s="40">
        <v>0</v>
      </c>
      <c r="AG159" s="48"/>
      <c r="AQ159" s="29"/>
      <c r="AR159" s="26" t="s">
        <v>407</v>
      </c>
      <c r="AT159" s="31">
        <f>AU159-AU158</f>
        <v>18.372200000000021</v>
      </c>
      <c r="AU159" s="39">
        <f>(AU158+C21/10*AP147)</f>
        <v>1014.2240604192565</v>
      </c>
      <c r="AW159" s="28">
        <f t="shared" si="15"/>
        <v>230.1274393091293</v>
      </c>
      <c r="AX159" s="28">
        <f t="shared" si="16"/>
        <v>784.09662111012722</v>
      </c>
    </row>
    <row r="160" spans="1:50" ht="24" customHeight="1">
      <c r="A160" s="66"/>
      <c r="B160" s="66"/>
      <c r="C160" s="66"/>
      <c r="D160" s="66"/>
      <c r="K160" s="35" t="s">
        <v>48</v>
      </c>
      <c r="M160" s="27" t="s">
        <v>408</v>
      </c>
      <c r="N160" s="38" t="s">
        <v>67</v>
      </c>
      <c r="O160" s="26" t="s">
        <v>409</v>
      </c>
      <c r="Q160" s="31"/>
      <c r="AG160" s="48"/>
      <c r="AP160" s="99">
        <v>11</v>
      </c>
      <c r="AQ160" s="100" t="s">
        <v>67</v>
      </c>
      <c r="AR160" s="30" t="s">
        <v>410</v>
      </c>
      <c r="AS160" s="41"/>
      <c r="AT160" s="86"/>
      <c r="AU160" s="41"/>
      <c r="AW160" s="28">
        <f t="shared" si="15"/>
        <v>0</v>
      </c>
      <c r="AX160" s="28">
        <f t="shared" si="16"/>
        <v>0</v>
      </c>
    </row>
    <row r="161" spans="1:50" ht="24" customHeight="1">
      <c r="A161" s="66"/>
      <c r="B161" s="66"/>
      <c r="C161" s="66"/>
      <c r="D161" s="66"/>
      <c r="H161" s="42" t="s">
        <v>383</v>
      </c>
      <c r="K161" s="39">
        <f>SUM(K152:K159)</f>
        <v>2229.0610000000001</v>
      </c>
      <c r="N161" s="29"/>
      <c r="O161" s="26" t="s">
        <v>411</v>
      </c>
      <c r="Q161" s="31"/>
      <c r="AG161" s="48"/>
      <c r="AP161" s="41"/>
      <c r="AQ161" s="101"/>
      <c r="AR161" s="39" t="str">
        <f>AR61</f>
        <v>Bricks of size 23x11x7 cm</v>
      </c>
      <c r="AS161" s="41"/>
      <c r="AT161" s="86"/>
      <c r="AU161" s="41"/>
      <c r="AW161" s="28">
        <f t="shared" si="15"/>
        <v>0</v>
      </c>
      <c r="AX161" s="28">
        <f t="shared" si="16"/>
        <v>0</v>
      </c>
    </row>
    <row r="162" spans="1:50" ht="24" customHeight="1">
      <c r="A162" s="66"/>
      <c r="B162" s="66"/>
      <c r="C162" s="66"/>
      <c r="D162" s="66"/>
      <c r="K162" s="35" t="s">
        <v>48</v>
      </c>
      <c r="N162" s="29"/>
      <c r="O162" s="35" t="s">
        <v>48</v>
      </c>
      <c r="Q162" s="31"/>
      <c r="AG162" s="48"/>
      <c r="AQ162" s="29"/>
      <c r="AR162" s="35" t="s">
        <v>48</v>
      </c>
      <c r="AT162" s="31"/>
      <c r="AW162" s="28">
        <f t="shared" si="15"/>
        <v>0</v>
      </c>
      <c r="AX162" s="28">
        <f t="shared" si="16"/>
        <v>0</v>
      </c>
    </row>
    <row r="163" spans="1:50" ht="24" customHeight="1">
      <c r="A163" s="66"/>
      <c r="B163" s="66"/>
      <c r="C163" s="66"/>
      <c r="D163" s="66"/>
      <c r="H163" s="26" t="s">
        <v>27</v>
      </c>
      <c r="K163" s="26" t="s">
        <v>27</v>
      </c>
      <c r="M163" s="40">
        <v>9</v>
      </c>
      <c r="N163" s="38" t="s">
        <v>93</v>
      </c>
      <c r="O163" s="26" t="s">
        <v>412</v>
      </c>
      <c r="P163" s="40">
        <f>I195</f>
        <v>2529.8000000000002</v>
      </c>
      <c r="Q163" s="26" t="s">
        <v>93</v>
      </c>
      <c r="R163" s="40">
        <f>(M163*P163)</f>
        <v>22768.2</v>
      </c>
      <c r="AG163" s="48"/>
      <c r="AP163" s="40">
        <f>AP63</f>
        <v>1300</v>
      </c>
      <c r="AQ163" s="38" t="s">
        <v>293</v>
      </c>
      <c r="AR163" s="40" t="str">
        <f>AR61</f>
        <v>Bricks of size 23x11x7 cm</v>
      </c>
      <c r="AS163" s="40">
        <f>AE45</f>
        <v>6714.95</v>
      </c>
      <c r="AT163" s="26" t="s">
        <v>413</v>
      </c>
      <c r="AU163" s="40">
        <f>(AP163*AS163)/1000</f>
        <v>8729.4349999999995</v>
      </c>
      <c r="AW163" s="28">
        <f t="shared" si="15"/>
        <v>1980.7088015000002</v>
      </c>
      <c r="AX163" s="28">
        <f t="shared" si="16"/>
        <v>6748.7261984999996</v>
      </c>
    </row>
    <row r="164" spans="1:50" ht="24" customHeight="1">
      <c r="A164" s="66"/>
      <c r="B164" s="66"/>
      <c r="C164" s="66"/>
      <c r="D164" s="66"/>
      <c r="K164" s="26" t="s">
        <v>27</v>
      </c>
      <c r="M164" s="40">
        <v>4.5</v>
      </c>
      <c r="N164" s="38" t="s">
        <v>93</v>
      </c>
      <c r="O164" s="26" t="s">
        <v>218</v>
      </c>
      <c r="P164" s="40">
        <f>K40</f>
        <v>4975.6400000000003</v>
      </c>
      <c r="Q164" s="26" t="s">
        <v>93</v>
      </c>
      <c r="R164" s="40">
        <f>(M164*P164)</f>
        <v>22390.38</v>
      </c>
      <c r="AG164" s="48"/>
      <c r="AP164" s="76">
        <f>AP133</f>
        <v>0.70799999999999996</v>
      </c>
      <c r="AQ164" s="38" t="s">
        <v>93</v>
      </c>
      <c r="AR164" s="26" t="s">
        <v>218</v>
      </c>
      <c r="AS164" s="40">
        <f>AS133</f>
        <v>4975.6400000000003</v>
      </c>
      <c r="AT164" s="26" t="s">
        <v>93</v>
      </c>
      <c r="AU164" s="40">
        <f>(AP164*AS164)</f>
        <v>3522.7531199999999</v>
      </c>
      <c r="AW164" s="28">
        <f t="shared" ref="AW164:AW217" si="19">AU164*22.69/100</f>
        <v>799.31268292799996</v>
      </c>
      <c r="AX164" s="28">
        <f t="shared" ref="AX164:AX217" si="20">AU164-AW164</f>
        <v>2723.4404370719999</v>
      </c>
    </row>
    <row r="165" spans="1:50" ht="24" customHeight="1">
      <c r="A165" s="102">
        <v>2.2999999999999998</v>
      </c>
      <c r="B165" s="51" t="s">
        <v>414</v>
      </c>
      <c r="C165" s="66">
        <f>AE19+I168</f>
        <v>1797.87</v>
      </c>
      <c r="D165" s="66"/>
      <c r="F165" s="77">
        <v>2.6</v>
      </c>
      <c r="G165" s="38" t="s">
        <v>67</v>
      </c>
      <c r="H165" s="26" t="s">
        <v>415</v>
      </c>
      <c r="M165" s="40">
        <v>1.8</v>
      </c>
      <c r="N165" s="38" t="s">
        <v>105</v>
      </c>
      <c r="O165" s="26" t="s">
        <v>269</v>
      </c>
      <c r="P165" s="40">
        <f>I197</f>
        <v>1005.1999999999999</v>
      </c>
      <c r="Q165" s="26" t="s">
        <v>105</v>
      </c>
      <c r="R165" s="40">
        <f>(M165*P165)</f>
        <v>1809.36</v>
      </c>
      <c r="AG165" s="48"/>
      <c r="AP165" s="40">
        <v>1</v>
      </c>
      <c r="AQ165" s="38" t="s">
        <v>105</v>
      </c>
      <c r="AR165" s="26" t="s">
        <v>298</v>
      </c>
      <c r="AS165" s="40">
        <f>AS134</f>
        <v>1076.5999999999999</v>
      </c>
      <c r="AT165" s="26" t="s">
        <v>105</v>
      </c>
      <c r="AU165" s="40">
        <f>(AP165*AS165)</f>
        <v>1076.5999999999999</v>
      </c>
      <c r="AW165" s="28">
        <f t="shared" si="19"/>
        <v>244.28054</v>
      </c>
      <c r="AX165" s="28">
        <f t="shared" si="20"/>
        <v>832.31945999999994</v>
      </c>
    </row>
    <row r="166" spans="1:50" ht="24" customHeight="1">
      <c r="A166" s="102">
        <v>2.4</v>
      </c>
      <c r="B166" s="51" t="s">
        <v>416</v>
      </c>
      <c r="C166" s="66">
        <f>AE20+I168</f>
        <v>1874.87</v>
      </c>
      <c r="D166" s="66"/>
      <c r="H166" s="35" t="s">
        <v>48</v>
      </c>
      <c r="M166" s="40">
        <v>17.7</v>
      </c>
      <c r="N166" s="38" t="s">
        <v>105</v>
      </c>
      <c r="O166" s="26" t="s">
        <v>271</v>
      </c>
      <c r="P166" s="40">
        <f>I198</f>
        <v>702.8</v>
      </c>
      <c r="Q166" s="26" t="s">
        <v>105</v>
      </c>
      <c r="R166" s="40">
        <f>(M166*P166)</f>
        <v>12439.56</v>
      </c>
      <c r="AG166" s="48"/>
      <c r="AP166" s="40">
        <v>3</v>
      </c>
      <c r="AQ166" s="38" t="s">
        <v>105</v>
      </c>
      <c r="AR166" s="26" t="s">
        <v>269</v>
      </c>
      <c r="AS166" s="40">
        <f>AS135</f>
        <v>1005.1999999999999</v>
      </c>
      <c r="AT166" s="26" t="s">
        <v>105</v>
      </c>
      <c r="AU166" s="40">
        <f>(AP166*AS166)</f>
        <v>3015.6</v>
      </c>
      <c r="AW166" s="28">
        <f t="shared" si="19"/>
        <v>684.23964000000012</v>
      </c>
      <c r="AX166" s="28">
        <f t="shared" si="20"/>
        <v>2331.3603599999997</v>
      </c>
    </row>
    <row r="167" spans="1:50" ht="24" customHeight="1">
      <c r="A167" s="66"/>
      <c r="B167" s="66"/>
      <c r="C167" s="66"/>
      <c r="D167" s="66"/>
      <c r="F167" s="40">
        <v>1</v>
      </c>
      <c r="G167" s="38" t="s">
        <v>93</v>
      </c>
      <c r="H167" s="26" t="s">
        <v>417</v>
      </c>
      <c r="I167" s="40">
        <f>AE15</f>
        <v>2529.8000000000002</v>
      </c>
      <c r="J167" s="26" t="s">
        <v>93</v>
      </c>
      <c r="K167" s="40">
        <f>(F167*I167)</f>
        <v>2529.8000000000002</v>
      </c>
      <c r="M167" s="40">
        <v>14.1</v>
      </c>
      <c r="N167" s="38" t="s">
        <v>105</v>
      </c>
      <c r="O167" s="26" t="s">
        <v>276</v>
      </c>
      <c r="P167" s="40">
        <f>I199</f>
        <v>576.79999999999995</v>
      </c>
      <c r="Q167" s="26" t="s">
        <v>105</v>
      </c>
      <c r="R167" s="40">
        <f>(M167*P167)</f>
        <v>8132.8799999999992</v>
      </c>
      <c r="AG167" s="48"/>
      <c r="AP167" s="40">
        <v>2</v>
      </c>
      <c r="AQ167" s="38" t="s">
        <v>105</v>
      </c>
      <c r="AR167" s="26" t="s">
        <v>271</v>
      </c>
      <c r="AS167" s="40">
        <f>AS136</f>
        <v>702.8</v>
      </c>
      <c r="AT167" s="26" t="s">
        <v>105</v>
      </c>
      <c r="AU167" s="40">
        <f>(AP167*AS167)</f>
        <v>1405.6</v>
      </c>
      <c r="AW167" s="28">
        <f t="shared" si="19"/>
        <v>318.93063999999998</v>
      </c>
      <c r="AX167" s="28">
        <f t="shared" si="20"/>
        <v>1086.6693599999999</v>
      </c>
    </row>
    <row r="168" spans="1:50" ht="24" customHeight="1">
      <c r="A168" s="66"/>
      <c r="B168" s="66"/>
      <c r="C168" s="66"/>
      <c r="D168" s="66"/>
      <c r="F168" s="40">
        <v>1</v>
      </c>
      <c r="G168" s="38" t="s">
        <v>93</v>
      </c>
      <c r="H168" s="26" t="s">
        <v>177</v>
      </c>
      <c r="I168" s="40">
        <f>C26</f>
        <v>41.019999999999996</v>
      </c>
      <c r="J168" s="26" t="s">
        <v>93</v>
      </c>
      <c r="K168" s="40">
        <f>(F168*I168)</f>
        <v>41.019999999999996</v>
      </c>
      <c r="N168" s="38" t="s">
        <v>106</v>
      </c>
      <c r="O168" s="26" t="s">
        <v>107</v>
      </c>
      <c r="Q168" s="26" t="s">
        <v>106</v>
      </c>
      <c r="R168" s="40">
        <v>0</v>
      </c>
      <c r="AG168" s="48"/>
      <c r="AP168" s="40">
        <v>6</v>
      </c>
      <c r="AQ168" s="38" t="s">
        <v>105</v>
      </c>
      <c r="AR168" s="26" t="s">
        <v>276</v>
      </c>
      <c r="AS168" s="40">
        <f>AS137</f>
        <v>576.79999999999995</v>
      </c>
      <c r="AT168" s="26" t="s">
        <v>105</v>
      </c>
      <c r="AU168" s="40">
        <f>(AP168*AS168)</f>
        <v>3460.7999999999997</v>
      </c>
      <c r="AW168" s="28">
        <f t="shared" si="19"/>
        <v>785.25551999999993</v>
      </c>
      <c r="AX168" s="28">
        <f t="shared" si="20"/>
        <v>2675.5444799999996</v>
      </c>
    </row>
    <row r="169" spans="1:50" ht="24" customHeight="1">
      <c r="A169" s="66"/>
      <c r="B169" s="66"/>
      <c r="C169" s="66"/>
      <c r="D169" s="66"/>
      <c r="G169" s="38" t="s">
        <v>106</v>
      </c>
      <c r="H169" s="26" t="s">
        <v>107</v>
      </c>
      <c r="I169" s="26" t="s">
        <v>27</v>
      </c>
      <c r="J169" s="26" t="s">
        <v>106</v>
      </c>
      <c r="K169" s="40">
        <v>0</v>
      </c>
      <c r="N169" s="29"/>
      <c r="Q169" s="31"/>
      <c r="R169" s="35" t="s">
        <v>48</v>
      </c>
      <c r="AG169" s="48"/>
      <c r="AQ169" s="38" t="s">
        <v>106</v>
      </c>
      <c r="AR169" s="26" t="s">
        <v>107</v>
      </c>
      <c r="AS169" s="26" t="s">
        <v>27</v>
      </c>
      <c r="AT169" s="26" t="s">
        <v>106</v>
      </c>
      <c r="AU169" s="40">
        <v>0</v>
      </c>
      <c r="AW169" s="28">
        <f t="shared" si="19"/>
        <v>0</v>
      </c>
      <c r="AX169" s="28">
        <f t="shared" si="20"/>
        <v>0</v>
      </c>
    </row>
    <row r="170" spans="1:50" ht="24" customHeight="1">
      <c r="A170" s="66"/>
      <c r="B170" s="66"/>
      <c r="C170" s="66"/>
      <c r="D170" s="66"/>
      <c r="K170" s="35" t="s">
        <v>48</v>
      </c>
      <c r="N170" s="29"/>
      <c r="Q170" s="31"/>
      <c r="R170" s="40">
        <f>SUM(R163:R168)</f>
        <v>67540.38</v>
      </c>
      <c r="AG170" s="48"/>
      <c r="AQ170" s="29"/>
      <c r="AT170" s="31"/>
      <c r="AU170" s="35" t="s">
        <v>48</v>
      </c>
      <c r="AW170" s="28">
        <f t="shared" si="19"/>
        <v>0</v>
      </c>
      <c r="AX170" s="28">
        <f t="shared" si="20"/>
        <v>0</v>
      </c>
    </row>
    <row r="171" spans="1:50" ht="24" customHeight="1">
      <c r="A171" s="66"/>
      <c r="B171" s="66"/>
      <c r="C171" s="66"/>
      <c r="D171" s="66"/>
      <c r="H171" s="42" t="s">
        <v>383</v>
      </c>
      <c r="K171" s="39">
        <f>SUM(K166:K169)</f>
        <v>2570.8200000000002</v>
      </c>
      <c r="N171" s="29"/>
      <c r="O171" s="103" t="s">
        <v>280</v>
      </c>
      <c r="Q171" s="31"/>
      <c r="R171" s="35" t="s">
        <v>48</v>
      </c>
      <c r="AG171" s="48"/>
      <c r="AQ171" s="29"/>
      <c r="AR171" s="26" t="s">
        <v>280</v>
      </c>
      <c r="AT171" s="31"/>
      <c r="AU171" s="40">
        <f>SUM(AU163:AU169)</f>
        <v>21210.788119999997</v>
      </c>
      <c r="AW171" s="28">
        <f t="shared" si="19"/>
        <v>4812.7278244279996</v>
      </c>
      <c r="AX171" s="28">
        <f t="shared" si="20"/>
        <v>16398.060295571999</v>
      </c>
    </row>
    <row r="172" spans="1:50" ht="24" customHeight="1">
      <c r="A172" s="66"/>
      <c r="B172" s="66"/>
      <c r="C172" s="66"/>
      <c r="D172" s="66"/>
      <c r="K172" s="35" t="s">
        <v>48</v>
      </c>
      <c r="N172" s="29"/>
      <c r="Q172" s="31"/>
      <c r="R172" s="39">
        <f>(R170/10)</f>
        <v>6754.0380000000005</v>
      </c>
      <c r="AG172" s="48"/>
      <c r="AQ172" s="29"/>
      <c r="AT172" s="31"/>
      <c r="AU172" s="35" t="s">
        <v>48</v>
      </c>
      <c r="AW172" s="28">
        <f t="shared" si="19"/>
        <v>0</v>
      </c>
      <c r="AX172" s="28">
        <f t="shared" si="20"/>
        <v>0</v>
      </c>
    </row>
    <row r="173" spans="1:50" ht="24" customHeight="1">
      <c r="A173" s="66"/>
      <c r="B173" s="66"/>
      <c r="C173" s="66"/>
      <c r="D173" s="66"/>
      <c r="F173" s="77">
        <v>2.7</v>
      </c>
      <c r="G173" s="38" t="s">
        <v>67</v>
      </c>
      <c r="H173" s="26" t="s">
        <v>418</v>
      </c>
      <c r="N173" s="29"/>
      <c r="O173" s="42" t="s">
        <v>201</v>
      </c>
      <c r="Q173" s="31"/>
      <c r="R173" s="35" t="s">
        <v>41</v>
      </c>
      <c r="AG173" s="48"/>
      <c r="AQ173" s="29"/>
      <c r="AR173" s="26" t="s">
        <v>201</v>
      </c>
      <c r="AT173" s="31"/>
      <c r="AU173" s="40">
        <f>(AU171/2.83168)</f>
        <v>7490.5314583568752</v>
      </c>
      <c r="AW173" s="28">
        <f t="shared" si="19"/>
        <v>1699.601587901175</v>
      </c>
      <c r="AX173" s="28">
        <f t="shared" si="20"/>
        <v>5790.9298704557004</v>
      </c>
    </row>
    <row r="174" spans="1:50" ht="24" customHeight="1">
      <c r="A174" s="66"/>
      <c r="B174" s="66"/>
      <c r="C174" s="66"/>
      <c r="D174" s="66"/>
      <c r="H174" s="35" t="s">
        <v>48</v>
      </c>
      <c r="AG174" s="48"/>
      <c r="AQ174" s="29"/>
      <c r="AT174" s="31"/>
      <c r="AU174" s="35" t="s">
        <v>41</v>
      </c>
      <c r="AW174" s="28">
        <f t="shared" si="19"/>
        <v>0</v>
      </c>
      <c r="AX174" s="28">
        <f t="shared" si="20"/>
        <v>0</v>
      </c>
    </row>
    <row r="175" spans="1:50" ht="24" customHeight="1">
      <c r="A175" s="66"/>
      <c r="B175" s="66"/>
      <c r="C175" s="66"/>
      <c r="D175" s="66"/>
      <c r="F175" s="40">
        <v>1</v>
      </c>
      <c r="G175" s="38" t="s">
        <v>93</v>
      </c>
      <c r="H175" s="26" t="s">
        <v>419</v>
      </c>
      <c r="I175" s="40">
        <f>AE14</f>
        <v>2923.8</v>
      </c>
      <c r="J175" s="26" t="s">
        <v>93</v>
      </c>
      <c r="K175" s="40">
        <f>(F175*I175)</f>
        <v>2923.8</v>
      </c>
      <c r="AG175" s="48"/>
      <c r="AP175" s="26" t="s">
        <v>49</v>
      </c>
      <c r="AQ175" s="29"/>
      <c r="AT175" s="31"/>
      <c r="AW175" s="28">
        <f t="shared" si="19"/>
        <v>0</v>
      </c>
      <c r="AX175" s="28">
        <f t="shared" si="20"/>
        <v>0</v>
      </c>
    </row>
    <row r="176" spans="1:50" ht="24" customHeight="1">
      <c r="A176" s="66"/>
      <c r="B176" s="66"/>
      <c r="C176" s="66"/>
      <c r="D176" s="66"/>
      <c r="F176" s="40">
        <v>1</v>
      </c>
      <c r="G176" s="38" t="s">
        <v>93</v>
      </c>
      <c r="H176" s="26" t="s">
        <v>177</v>
      </c>
      <c r="I176" s="40">
        <f>C26</f>
        <v>41.019999999999996</v>
      </c>
      <c r="J176" s="26" t="s">
        <v>93</v>
      </c>
      <c r="K176" s="40">
        <f>(F176*I176)</f>
        <v>41.019999999999996</v>
      </c>
      <c r="AG176" s="48"/>
      <c r="AQ176" s="29"/>
      <c r="AT176" s="31"/>
      <c r="AW176" s="28">
        <f t="shared" si="19"/>
        <v>0</v>
      </c>
      <c r="AX176" s="28">
        <f t="shared" si="20"/>
        <v>0</v>
      </c>
    </row>
    <row r="177" spans="1:50" ht="24" customHeight="1">
      <c r="A177" s="66"/>
      <c r="B177" s="66"/>
      <c r="C177" s="66"/>
      <c r="D177" s="66"/>
      <c r="G177" s="38" t="s">
        <v>106</v>
      </c>
      <c r="H177" s="26" t="s">
        <v>107</v>
      </c>
      <c r="I177" s="26" t="s">
        <v>27</v>
      </c>
      <c r="J177" s="26" t="s">
        <v>106</v>
      </c>
      <c r="K177" s="40">
        <v>0</v>
      </c>
      <c r="AG177" s="48"/>
      <c r="AQ177" s="38" t="s">
        <v>420</v>
      </c>
      <c r="AR177" s="26" t="s">
        <v>421</v>
      </c>
      <c r="AT177" s="31"/>
      <c r="AW177" s="28">
        <f t="shared" si="19"/>
        <v>0</v>
      </c>
      <c r="AX177" s="28">
        <f t="shared" si="20"/>
        <v>0</v>
      </c>
    </row>
    <row r="178" spans="1:50" ht="24" customHeight="1">
      <c r="A178" s="66"/>
      <c r="B178" s="66"/>
      <c r="C178" s="66"/>
      <c r="D178" s="66"/>
      <c r="K178" s="35" t="s">
        <v>48</v>
      </c>
      <c r="AG178" s="48"/>
      <c r="AQ178" s="29"/>
      <c r="AR178" s="35" t="s">
        <v>48</v>
      </c>
      <c r="AT178" s="31"/>
      <c r="AW178" s="28">
        <f t="shared" si="19"/>
        <v>0</v>
      </c>
      <c r="AX178" s="28">
        <f t="shared" si="20"/>
        <v>0</v>
      </c>
    </row>
    <row r="179" spans="1:50" ht="24" customHeight="1">
      <c r="A179" s="66"/>
      <c r="B179" s="66"/>
      <c r="C179" s="66"/>
      <c r="D179" s="66"/>
      <c r="H179" s="42" t="s">
        <v>383</v>
      </c>
      <c r="K179" s="39">
        <f>SUM(K174:K177)</f>
        <v>2964.82</v>
      </c>
      <c r="AG179" s="48"/>
      <c r="AP179" s="40">
        <v>0.7</v>
      </c>
      <c r="AQ179" s="38" t="s">
        <v>93</v>
      </c>
      <c r="AR179" s="26" t="s">
        <v>422</v>
      </c>
      <c r="AS179" s="40">
        <f>AS147</f>
        <v>7490.5314583568752</v>
      </c>
      <c r="AT179" s="26" t="s">
        <v>105</v>
      </c>
      <c r="AU179" s="40">
        <f>(AP179*AS179)</f>
        <v>5243.3720208498125</v>
      </c>
      <c r="AW179" s="28">
        <f t="shared" si="19"/>
        <v>1189.7211115308226</v>
      </c>
      <c r="AX179" s="28">
        <f t="shared" si="20"/>
        <v>4053.6509093189898</v>
      </c>
    </row>
    <row r="180" spans="1:50" ht="24" customHeight="1">
      <c r="K180" s="35" t="s">
        <v>48</v>
      </c>
      <c r="M180" s="40">
        <v>2.5</v>
      </c>
      <c r="N180" s="26" t="s">
        <v>93</v>
      </c>
      <c r="O180" s="26" t="s">
        <v>266</v>
      </c>
      <c r="P180" s="40">
        <f>(K58)</f>
        <v>4279.6400000000003</v>
      </c>
      <c r="Q180" s="26" t="s">
        <v>93</v>
      </c>
      <c r="R180" s="40">
        <f>(M180*P180)</f>
        <v>10699.1</v>
      </c>
      <c r="AG180" s="48"/>
      <c r="AI180" s="26"/>
      <c r="AP180" s="40">
        <v>1</v>
      </c>
      <c r="AQ180" s="38" t="s">
        <v>196</v>
      </c>
      <c r="AR180" s="26" t="s">
        <v>298</v>
      </c>
      <c r="AS180" s="40">
        <f>AS165</f>
        <v>1076.5999999999999</v>
      </c>
      <c r="AT180" s="26" t="s">
        <v>105</v>
      </c>
      <c r="AU180" s="40">
        <f>(AP180*AS180)</f>
        <v>1076.5999999999999</v>
      </c>
      <c r="AW180" s="28">
        <f t="shared" si="19"/>
        <v>244.28054</v>
      </c>
      <c r="AX180" s="28">
        <f t="shared" si="20"/>
        <v>832.31945999999994</v>
      </c>
    </row>
    <row r="181" spans="1:50" ht="24" customHeight="1">
      <c r="H181" s="26" t="s">
        <v>27</v>
      </c>
      <c r="M181" s="40">
        <v>3.5</v>
      </c>
      <c r="N181" s="26" t="s">
        <v>105</v>
      </c>
      <c r="O181" s="26" t="s">
        <v>298</v>
      </c>
      <c r="P181" s="40">
        <f>(C10)</f>
        <v>1076.5999999999999</v>
      </c>
      <c r="Q181" s="26" t="s">
        <v>105</v>
      </c>
      <c r="R181" s="40">
        <f>(M181*P181)</f>
        <v>3768.0999999999995</v>
      </c>
      <c r="AG181" s="48"/>
      <c r="AI181" s="26"/>
      <c r="AQ181" s="38" t="s">
        <v>106</v>
      </c>
      <c r="AR181" s="26" t="s">
        <v>107</v>
      </c>
      <c r="AS181" s="26" t="s">
        <v>27</v>
      </c>
      <c r="AT181" s="26" t="s">
        <v>106</v>
      </c>
      <c r="AU181" s="40">
        <v>0</v>
      </c>
      <c r="AW181" s="28">
        <f t="shared" si="19"/>
        <v>0</v>
      </c>
      <c r="AX181" s="28">
        <f t="shared" si="20"/>
        <v>0</v>
      </c>
    </row>
    <row r="182" spans="1:50" ht="24" customHeight="1">
      <c r="F182" s="27" t="s">
        <v>423</v>
      </c>
      <c r="H182" s="26" t="s">
        <v>424</v>
      </c>
      <c r="AG182" s="48"/>
      <c r="AQ182" s="29"/>
      <c r="AT182" s="31"/>
      <c r="AU182" s="35" t="s">
        <v>48</v>
      </c>
      <c r="AW182" s="28">
        <f t="shared" si="19"/>
        <v>0</v>
      </c>
      <c r="AX182" s="28">
        <f t="shared" si="20"/>
        <v>0</v>
      </c>
    </row>
    <row r="183" spans="1:50" ht="24" customHeight="1">
      <c r="A183" s="66"/>
      <c r="B183" s="66"/>
      <c r="C183" s="66"/>
      <c r="D183" s="66"/>
      <c r="AG183" s="48"/>
      <c r="AQ183" s="29"/>
      <c r="AR183" s="26" t="s">
        <v>401</v>
      </c>
      <c r="AT183" s="31"/>
      <c r="AU183" s="39">
        <f>SUM(AU179:AU181)</f>
        <v>6319.9720208498129</v>
      </c>
      <c r="AW183" s="28">
        <f t="shared" si="19"/>
        <v>1434.0016515308225</v>
      </c>
      <c r="AX183" s="28">
        <f t="shared" si="20"/>
        <v>4885.9703693189904</v>
      </c>
    </row>
    <row r="184" spans="1:50" ht="24" customHeight="1">
      <c r="A184" s="66"/>
      <c r="B184" s="66"/>
      <c r="C184" s="66"/>
      <c r="D184" s="66"/>
      <c r="F184" s="40">
        <v>1</v>
      </c>
      <c r="G184" s="38" t="s">
        <v>93</v>
      </c>
      <c r="H184" s="26" t="s">
        <v>425</v>
      </c>
      <c r="I184" s="40">
        <f>C35</f>
        <v>210</v>
      </c>
      <c r="J184" s="26" t="s">
        <v>93</v>
      </c>
      <c r="K184" s="40">
        <f>(F184*I184)</f>
        <v>210</v>
      </c>
      <c r="AG184" s="48"/>
      <c r="AQ184" s="29"/>
      <c r="AT184" s="31"/>
      <c r="AU184" s="35" t="s">
        <v>48</v>
      </c>
      <c r="AW184" s="28">
        <f t="shared" si="19"/>
        <v>0</v>
      </c>
      <c r="AX184" s="28">
        <f t="shared" si="20"/>
        <v>0</v>
      </c>
    </row>
    <row r="185" spans="1:50" ht="24" customHeight="1">
      <c r="A185" s="66"/>
      <c r="B185" s="66"/>
      <c r="C185" s="66"/>
      <c r="D185" s="66"/>
      <c r="F185" s="40">
        <v>1</v>
      </c>
      <c r="G185" s="38" t="s">
        <v>93</v>
      </c>
      <c r="H185" s="26" t="s">
        <v>402</v>
      </c>
      <c r="I185" s="104">
        <f>C812</f>
        <v>3.15</v>
      </c>
      <c r="J185" s="26" t="s">
        <v>93</v>
      </c>
      <c r="K185" s="40">
        <f>(F185*I185)</f>
        <v>3.15</v>
      </c>
      <c r="AG185" s="48"/>
      <c r="AQ185" s="29"/>
      <c r="AR185" s="26" t="s">
        <v>403</v>
      </c>
      <c r="AT185" s="31"/>
      <c r="AU185" s="40">
        <f>(AU183/10)</f>
        <v>631.99720208498127</v>
      </c>
      <c r="AW185" s="28">
        <f t="shared" si="19"/>
        <v>143.40016515308224</v>
      </c>
      <c r="AX185" s="28">
        <f t="shared" si="20"/>
        <v>488.59703693189903</v>
      </c>
    </row>
    <row r="186" spans="1:50" ht="24" customHeight="1">
      <c r="A186" s="66"/>
      <c r="B186" s="66"/>
      <c r="C186" s="66"/>
      <c r="D186" s="66"/>
      <c r="F186" s="40">
        <v>1</v>
      </c>
      <c r="G186" s="38" t="s">
        <v>93</v>
      </c>
      <c r="H186" s="26" t="s">
        <v>405</v>
      </c>
      <c r="I186" s="104">
        <f>C146</f>
        <v>15.5</v>
      </c>
      <c r="J186" s="26" t="s">
        <v>93</v>
      </c>
      <c r="K186" s="40">
        <f>(F186*I186)</f>
        <v>15.5</v>
      </c>
      <c r="AG186" s="48"/>
      <c r="AQ186" s="29"/>
      <c r="AT186" s="31"/>
      <c r="AU186" s="35" t="s">
        <v>41</v>
      </c>
      <c r="AW186" s="28">
        <f t="shared" si="19"/>
        <v>0</v>
      </c>
      <c r="AX186" s="28">
        <f t="shared" si="20"/>
        <v>0</v>
      </c>
    </row>
    <row r="187" spans="1:50" ht="24" customHeight="1">
      <c r="A187" s="66"/>
      <c r="B187" s="66"/>
      <c r="C187" s="66"/>
      <c r="D187" s="66"/>
      <c r="H187" s="26" t="s">
        <v>406</v>
      </c>
      <c r="AG187" s="48"/>
      <c r="AQ187" s="29"/>
      <c r="AR187" s="26" t="s">
        <v>309</v>
      </c>
      <c r="AT187" s="31">
        <f>AU187-AU185</f>
        <v>5.8016000000000076</v>
      </c>
      <c r="AU187" s="39">
        <f>(AU185+C19/10*AP179)</f>
        <v>637.79880208498128</v>
      </c>
      <c r="AW187" s="28">
        <f t="shared" si="19"/>
        <v>144.71654819308225</v>
      </c>
      <c r="AX187" s="28">
        <f t="shared" si="20"/>
        <v>493.08225389189903</v>
      </c>
    </row>
    <row r="188" spans="1:50" ht="24" customHeight="1">
      <c r="A188" s="66"/>
      <c r="B188" s="66"/>
      <c r="C188" s="66"/>
      <c r="D188" s="66"/>
      <c r="K188" s="35" t="s">
        <v>48</v>
      </c>
      <c r="AG188" s="48"/>
      <c r="AQ188" s="29"/>
      <c r="AR188" s="26" t="s">
        <v>313</v>
      </c>
      <c r="AT188" s="31">
        <f>AU188-AU187</f>
        <v>11.691400000000044</v>
      </c>
      <c r="AU188" s="39">
        <f>(AU187+C20/10*AP179)</f>
        <v>649.49020208498132</v>
      </c>
      <c r="AW188" s="28">
        <f t="shared" si="19"/>
        <v>147.36932685308227</v>
      </c>
      <c r="AX188" s="28">
        <f t="shared" si="20"/>
        <v>502.12087523189905</v>
      </c>
    </row>
    <row r="189" spans="1:50" ht="24" customHeight="1">
      <c r="A189" s="66"/>
      <c r="B189" s="66"/>
      <c r="C189" s="66"/>
      <c r="D189" s="66"/>
      <c r="H189" s="42" t="s">
        <v>383</v>
      </c>
      <c r="K189" s="39">
        <f>SUM(K182:K187)</f>
        <v>228.65</v>
      </c>
      <c r="AG189" s="48"/>
      <c r="AQ189" s="29"/>
      <c r="AR189" s="26" t="s">
        <v>316</v>
      </c>
      <c r="AT189" s="31">
        <f>AU189-AU188</f>
        <v>11.691400000000044</v>
      </c>
      <c r="AU189" s="39">
        <f>(AU188+C21/10*AP179)</f>
        <v>661.18160208498136</v>
      </c>
      <c r="AW189" s="28">
        <f t="shared" si="19"/>
        <v>150.02210551308227</v>
      </c>
      <c r="AX189" s="28">
        <f t="shared" si="20"/>
        <v>511.15949657189913</v>
      </c>
    </row>
    <row r="190" spans="1:50" ht="24" customHeight="1">
      <c r="A190" s="66"/>
      <c r="B190" s="66"/>
      <c r="C190" s="66"/>
      <c r="D190" s="66"/>
      <c r="F190" s="26" t="s">
        <v>27</v>
      </c>
      <c r="K190" s="35" t="s">
        <v>48</v>
      </c>
      <c r="AG190" s="48"/>
      <c r="AQ190" s="29"/>
      <c r="AR190" s="26" t="s">
        <v>318</v>
      </c>
      <c r="AT190" s="31">
        <f>AU190-AU189</f>
        <v>11.691400000000044</v>
      </c>
      <c r="AU190" s="39">
        <f>(AU189+C21/10*AP179)</f>
        <v>672.87300208498141</v>
      </c>
      <c r="AW190" s="28">
        <f t="shared" si="19"/>
        <v>152.67488417308229</v>
      </c>
      <c r="AX190" s="28">
        <f t="shared" si="20"/>
        <v>520.19811791189909</v>
      </c>
    </row>
    <row r="191" spans="1:50" ht="24" customHeight="1">
      <c r="A191" s="66"/>
      <c r="B191" s="66"/>
      <c r="C191" s="66"/>
      <c r="D191" s="66"/>
      <c r="K191" s="26" t="s">
        <v>27</v>
      </c>
      <c r="AG191" s="48"/>
      <c r="AQ191" s="29"/>
      <c r="AR191" s="26" t="s">
        <v>426</v>
      </c>
      <c r="AT191" s="31">
        <f>AU191-AU190</f>
        <v>11.691400000000044</v>
      </c>
      <c r="AU191" s="39">
        <f>(AU190+C21/10*AP179)</f>
        <v>684.56440208498145</v>
      </c>
      <c r="AW191" s="28">
        <f t="shared" si="19"/>
        <v>155.32766283308231</v>
      </c>
      <c r="AX191" s="28">
        <f t="shared" si="20"/>
        <v>529.23673925189917</v>
      </c>
    </row>
    <row r="192" spans="1:50" ht="24" customHeight="1">
      <c r="A192" s="50">
        <f>(A148+1)</f>
        <v>90</v>
      </c>
      <c r="B192" s="51" t="s">
        <v>427</v>
      </c>
      <c r="C192" s="52">
        <v>65</v>
      </c>
      <c r="D192" s="51" t="s">
        <v>428</v>
      </c>
      <c r="F192" s="27" t="s">
        <v>408</v>
      </c>
      <c r="G192" s="38" t="s">
        <v>67</v>
      </c>
      <c r="H192" s="26" t="s">
        <v>429</v>
      </c>
      <c r="M192" s="27" t="s">
        <v>408</v>
      </c>
      <c r="N192" s="38" t="s">
        <v>67</v>
      </c>
      <c r="O192" s="26" t="s">
        <v>430</v>
      </c>
      <c r="Q192" s="31"/>
      <c r="S192" s="27" t="s">
        <v>408</v>
      </c>
      <c r="T192" s="38" t="s">
        <v>67</v>
      </c>
      <c r="U192" s="26" t="s">
        <v>430</v>
      </c>
      <c r="W192" s="31"/>
      <c r="AG192" s="48"/>
      <c r="AI192" s="26"/>
      <c r="AR192" s="26"/>
      <c r="AT192" s="31"/>
      <c r="AU192" s="39"/>
      <c r="AW192" s="28">
        <f t="shared" si="19"/>
        <v>0</v>
      </c>
      <c r="AX192" s="28">
        <f t="shared" si="20"/>
        <v>0</v>
      </c>
    </row>
    <row r="193" spans="1:50" ht="24" customHeight="1">
      <c r="A193" s="50">
        <f t="shared" ref="A193:A208" si="21">(A192+1)</f>
        <v>91</v>
      </c>
      <c r="B193" s="51" t="s">
        <v>431</v>
      </c>
      <c r="C193" s="52">
        <v>25</v>
      </c>
      <c r="D193" s="51" t="s">
        <v>428</v>
      </c>
      <c r="H193" s="26" t="s">
        <v>411</v>
      </c>
      <c r="N193" s="29"/>
      <c r="O193" s="26" t="s">
        <v>292</v>
      </c>
      <c r="Q193" s="31"/>
      <c r="S193" s="28"/>
      <c r="T193" s="29"/>
      <c r="U193" s="26" t="s">
        <v>411</v>
      </c>
      <c r="W193" s="31"/>
      <c r="AG193" s="48"/>
      <c r="AI193" s="26"/>
      <c r="AR193" s="26"/>
      <c r="AT193" s="31"/>
      <c r="AU193" s="39"/>
      <c r="AW193" s="28">
        <f t="shared" si="19"/>
        <v>0</v>
      </c>
      <c r="AX193" s="28">
        <f t="shared" si="20"/>
        <v>0</v>
      </c>
    </row>
    <row r="194" spans="1:50" ht="24" customHeight="1">
      <c r="A194" s="50">
        <f t="shared" si="21"/>
        <v>92</v>
      </c>
      <c r="B194" s="51" t="s">
        <v>432</v>
      </c>
      <c r="C194" s="49">
        <v>266</v>
      </c>
      <c r="D194" s="51" t="s">
        <v>428</v>
      </c>
      <c r="H194" s="35" t="s">
        <v>48</v>
      </c>
      <c r="N194" s="29"/>
      <c r="O194" s="35" t="s">
        <v>48</v>
      </c>
      <c r="Q194" s="31"/>
      <c r="S194" s="28"/>
      <c r="T194" s="29"/>
      <c r="U194" s="35" t="s">
        <v>48</v>
      </c>
      <c r="W194" s="31"/>
      <c r="AG194" s="48"/>
      <c r="AI194" s="26"/>
      <c r="AW194" s="28">
        <f t="shared" si="19"/>
        <v>0</v>
      </c>
      <c r="AX194" s="28">
        <f t="shared" si="20"/>
        <v>0</v>
      </c>
    </row>
    <row r="195" spans="1:50" ht="24" customHeight="1">
      <c r="A195" s="50">
        <f t="shared" si="21"/>
        <v>93</v>
      </c>
      <c r="B195" s="51" t="s">
        <v>433</v>
      </c>
      <c r="C195" s="49">
        <v>234.3</v>
      </c>
      <c r="D195" s="73">
        <v>96.11</v>
      </c>
      <c r="F195" s="40">
        <v>9</v>
      </c>
      <c r="G195" s="38" t="s">
        <v>93</v>
      </c>
      <c r="H195" s="26" t="s">
        <v>412</v>
      </c>
      <c r="I195" s="40">
        <f>(C74)</f>
        <v>2529.8000000000002</v>
      </c>
      <c r="J195" s="26" t="s">
        <v>93</v>
      </c>
      <c r="K195" s="40">
        <f>(F195*I195)</f>
        <v>22768.2</v>
      </c>
      <c r="M195" s="40">
        <v>9</v>
      </c>
      <c r="N195" s="38" t="s">
        <v>93</v>
      </c>
      <c r="O195" s="26" t="s">
        <v>434</v>
      </c>
      <c r="P195" s="40">
        <f>(C73)</f>
        <v>2923.8</v>
      </c>
      <c r="Q195" s="26" t="s">
        <v>93</v>
      </c>
      <c r="R195" s="40">
        <f>(M195*P195)</f>
        <v>26314.2</v>
      </c>
      <c r="S195" s="40">
        <v>9</v>
      </c>
      <c r="T195" s="38" t="s">
        <v>93</v>
      </c>
      <c r="U195" s="26" t="s">
        <v>412</v>
      </c>
      <c r="V195" s="40">
        <f>(C74)</f>
        <v>2529.8000000000002</v>
      </c>
      <c r="W195" s="26" t="s">
        <v>93</v>
      </c>
      <c r="X195" s="40">
        <f>(S195*V195)</f>
        <v>22768.2</v>
      </c>
      <c r="Y195" s="40"/>
      <c r="AG195" s="48"/>
      <c r="AI195" s="26"/>
      <c r="AR195" s="26"/>
      <c r="AT195" s="31"/>
      <c r="AU195" s="39"/>
      <c r="AW195" s="28">
        <f t="shared" si="19"/>
        <v>0</v>
      </c>
      <c r="AX195" s="28">
        <f t="shared" si="20"/>
        <v>0</v>
      </c>
    </row>
    <row r="196" spans="1:50" ht="24" customHeight="1">
      <c r="A196" s="50">
        <f t="shared" si="21"/>
        <v>94</v>
      </c>
      <c r="B196" s="51" t="s">
        <v>435</v>
      </c>
      <c r="C196" s="49">
        <v>144.69999999999999</v>
      </c>
      <c r="D196" s="51" t="s">
        <v>428</v>
      </c>
      <c r="F196" s="40">
        <v>4.5</v>
      </c>
      <c r="G196" s="38" t="s">
        <v>93</v>
      </c>
      <c r="H196" s="26" t="s">
        <v>245</v>
      </c>
      <c r="I196" s="40">
        <f>(K49)</f>
        <v>4558.04</v>
      </c>
      <c r="J196" s="26" t="s">
        <v>93</v>
      </c>
      <c r="K196" s="40">
        <f>(F196*I196)</f>
        <v>20511.18</v>
      </c>
      <c r="M196" s="40">
        <v>4.5</v>
      </c>
      <c r="N196" s="38" t="s">
        <v>93</v>
      </c>
      <c r="O196" s="26" t="s">
        <v>176</v>
      </c>
      <c r="P196" s="40">
        <f>K32</f>
        <v>5671.64</v>
      </c>
      <c r="Q196" s="26" t="s">
        <v>93</v>
      </c>
      <c r="R196" s="40">
        <f>(M196*P196)</f>
        <v>25522.38</v>
      </c>
      <c r="S196" s="40">
        <v>4.5</v>
      </c>
      <c r="T196" s="38" t="s">
        <v>93</v>
      </c>
      <c r="U196" s="26" t="s">
        <v>176</v>
      </c>
      <c r="V196" s="40">
        <f>P196</f>
        <v>5671.64</v>
      </c>
      <c r="W196" s="26" t="s">
        <v>93</v>
      </c>
      <c r="X196" s="40">
        <f>(S196*V196)</f>
        <v>25522.38</v>
      </c>
      <c r="Y196" s="40"/>
      <c r="AG196" s="48"/>
      <c r="AI196" s="26"/>
      <c r="AR196" s="26"/>
      <c r="AU196" s="39"/>
      <c r="AW196" s="28">
        <f t="shared" si="19"/>
        <v>0</v>
      </c>
      <c r="AX196" s="28">
        <f t="shared" si="20"/>
        <v>0</v>
      </c>
    </row>
    <row r="197" spans="1:50" ht="24" customHeight="1">
      <c r="A197" s="50">
        <f t="shared" si="21"/>
        <v>95</v>
      </c>
      <c r="B197" s="51" t="s">
        <v>436</v>
      </c>
      <c r="C197" s="52">
        <v>0.25</v>
      </c>
      <c r="D197" s="51" t="s">
        <v>105</v>
      </c>
      <c r="F197" s="40">
        <v>1.8</v>
      </c>
      <c r="G197" s="38" t="s">
        <v>105</v>
      </c>
      <c r="H197" s="26" t="s">
        <v>269</v>
      </c>
      <c r="I197" s="40">
        <f>(C11)</f>
        <v>1005.1999999999999</v>
      </c>
      <c r="J197" s="26" t="s">
        <v>105</v>
      </c>
      <c r="K197" s="40">
        <f>(F197*I197)</f>
        <v>1809.36</v>
      </c>
      <c r="M197" s="40">
        <v>1.8</v>
      </c>
      <c r="N197" s="38" t="s">
        <v>105</v>
      </c>
      <c r="O197" s="26" t="s">
        <v>269</v>
      </c>
      <c r="P197" s="40">
        <f>I197</f>
        <v>1005.1999999999999</v>
      </c>
      <c r="Q197" s="26" t="s">
        <v>105</v>
      </c>
      <c r="R197" s="40">
        <f>(M197*P197)</f>
        <v>1809.36</v>
      </c>
      <c r="S197" s="40">
        <v>1.8</v>
      </c>
      <c r="T197" s="38" t="s">
        <v>105</v>
      </c>
      <c r="U197" s="26" t="s">
        <v>269</v>
      </c>
      <c r="V197" s="40">
        <f>P197</f>
        <v>1005.1999999999999</v>
      </c>
      <c r="W197" s="26" t="s">
        <v>105</v>
      </c>
      <c r="X197" s="40">
        <f>(S197*V197)</f>
        <v>1809.36</v>
      </c>
      <c r="Y197" s="40"/>
      <c r="AG197" s="48"/>
      <c r="AI197" s="26"/>
      <c r="AR197" s="26"/>
      <c r="AU197" s="39"/>
      <c r="AW197" s="28">
        <f t="shared" si="19"/>
        <v>0</v>
      </c>
      <c r="AX197" s="28">
        <f t="shared" si="20"/>
        <v>0</v>
      </c>
    </row>
    <row r="198" spans="1:50" ht="24" customHeight="1">
      <c r="A198" s="50">
        <f t="shared" si="21"/>
        <v>96</v>
      </c>
      <c r="B198" s="51" t="s">
        <v>437</v>
      </c>
      <c r="C198" s="47">
        <v>31.65</v>
      </c>
      <c r="D198" s="51" t="s">
        <v>438</v>
      </c>
      <c r="F198" s="40">
        <v>17.7</v>
      </c>
      <c r="G198" s="38" t="s">
        <v>105</v>
      </c>
      <c r="H198" s="26" t="s">
        <v>271</v>
      </c>
      <c r="I198" s="40">
        <f>(C12)</f>
        <v>702.8</v>
      </c>
      <c r="J198" s="26" t="s">
        <v>105</v>
      </c>
      <c r="K198" s="40">
        <f>(F198*I198)</f>
        <v>12439.56</v>
      </c>
      <c r="M198" s="40">
        <v>17.7</v>
      </c>
      <c r="N198" s="38" t="s">
        <v>105</v>
      </c>
      <c r="O198" s="26" t="s">
        <v>271</v>
      </c>
      <c r="P198" s="40">
        <f>I198</f>
        <v>702.8</v>
      </c>
      <c r="Q198" s="26" t="s">
        <v>105</v>
      </c>
      <c r="R198" s="40">
        <f>(M198*P198)</f>
        <v>12439.56</v>
      </c>
      <c r="S198" s="40">
        <v>17.7</v>
      </c>
      <c r="T198" s="38" t="s">
        <v>105</v>
      </c>
      <c r="U198" s="26" t="s">
        <v>271</v>
      </c>
      <c r="V198" s="40">
        <f>P198</f>
        <v>702.8</v>
      </c>
      <c r="W198" s="26" t="s">
        <v>105</v>
      </c>
      <c r="X198" s="40">
        <f>(S198*V198)</f>
        <v>12439.56</v>
      </c>
      <c r="Y198" s="40"/>
      <c r="AG198" s="48"/>
      <c r="AI198" s="26"/>
      <c r="AR198" s="26"/>
      <c r="AU198" s="39"/>
      <c r="AW198" s="28">
        <f t="shared" si="19"/>
        <v>0</v>
      </c>
      <c r="AX198" s="28">
        <f t="shared" si="20"/>
        <v>0</v>
      </c>
    </row>
    <row r="199" spans="1:50" ht="24" customHeight="1">
      <c r="A199" s="50">
        <f t="shared" si="21"/>
        <v>97</v>
      </c>
      <c r="B199" s="51" t="s">
        <v>439</v>
      </c>
      <c r="C199" s="47">
        <v>295</v>
      </c>
      <c r="D199" s="47">
        <v>91</v>
      </c>
      <c r="E199" s="51" t="s">
        <v>438</v>
      </c>
      <c r="F199" s="40">
        <v>14.1</v>
      </c>
      <c r="G199" s="38" t="s">
        <v>105</v>
      </c>
      <c r="H199" s="26" t="s">
        <v>276</v>
      </c>
      <c r="I199" s="40">
        <f>(C13)</f>
        <v>576.79999999999995</v>
      </c>
      <c r="J199" s="26" t="s">
        <v>105</v>
      </c>
      <c r="K199" s="40">
        <f>(F199*I199)</f>
        <v>8132.8799999999992</v>
      </c>
      <c r="M199" s="40">
        <v>14.1</v>
      </c>
      <c r="N199" s="38" t="s">
        <v>105</v>
      </c>
      <c r="O199" s="26" t="s">
        <v>276</v>
      </c>
      <c r="P199" s="40">
        <f>I199</f>
        <v>576.79999999999995</v>
      </c>
      <c r="Q199" s="26" t="s">
        <v>105</v>
      </c>
      <c r="R199" s="40">
        <f>(M199*P199)</f>
        <v>8132.8799999999992</v>
      </c>
      <c r="S199" s="40">
        <v>14.1</v>
      </c>
      <c r="T199" s="38" t="s">
        <v>105</v>
      </c>
      <c r="U199" s="26" t="s">
        <v>276</v>
      </c>
      <c r="V199" s="40">
        <f>P199</f>
        <v>576.79999999999995</v>
      </c>
      <c r="W199" s="26" t="s">
        <v>105</v>
      </c>
      <c r="X199" s="40">
        <f>(S199*V199)</f>
        <v>8132.8799999999992</v>
      </c>
      <c r="Y199" s="40"/>
      <c r="AG199" s="48"/>
      <c r="AI199" s="26"/>
      <c r="AR199" s="26"/>
      <c r="AU199" s="39"/>
      <c r="AW199" s="28">
        <f t="shared" si="19"/>
        <v>0</v>
      </c>
      <c r="AX199" s="28">
        <f t="shared" si="20"/>
        <v>0</v>
      </c>
    </row>
    <row r="200" spans="1:50" ht="24" customHeight="1">
      <c r="A200" s="50">
        <f t="shared" si="21"/>
        <v>98</v>
      </c>
      <c r="B200" s="51" t="s">
        <v>440</v>
      </c>
      <c r="C200" s="47">
        <v>143</v>
      </c>
      <c r="D200" s="51" t="s">
        <v>196</v>
      </c>
      <c r="G200" s="38" t="s">
        <v>106</v>
      </c>
      <c r="H200" s="26" t="s">
        <v>107</v>
      </c>
      <c r="J200" s="26" t="s">
        <v>106</v>
      </c>
      <c r="K200" s="40">
        <v>0</v>
      </c>
      <c r="N200" s="38" t="s">
        <v>106</v>
      </c>
      <c r="O200" s="26" t="s">
        <v>107</v>
      </c>
      <c r="Q200" s="26" t="s">
        <v>106</v>
      </c>
      <c r="R200" s="40">
        <v>0</v>
      </c>
      <c r="S200" s="28"/>
      <c r="T200" s="38" t="s">
        <v>106</v>
      </c>
      <c r="U200" s="26" t="s">
        <v>107</v>
      </c>
      <c r="W200" s="26" t="s">
        <v>106</v>
      </c>
      <c r="X200" s="40">
        <v>0</v>
      </c>
      <c r="Y200" s="40"/>
      <c r="AG200" s="48"/>
      <c r="AI200" s="26"/>
      <c r="AW200" s="28">
        <f t="shared" si="19"/>
        <v>0</v>
      </c>
      <c r="AX200" s="28">
        <f t="shared" si="20"/>
        <v>0</v>
      </c>
    </row>
    <row r="201" spans="1:50" ht="24" customHeight="1">
      <c r="A201" s="50">
        <f t="shared" si="21"/>
        <v>99</v>
      </c>
      <c r="B201" s="51" t="s">
        <v>441</v>
      </c>
      <c r="C201" s="47">
        <v>1180</v>
      </c>
      <c r="D201" s="51" t="s">
        <v>196</v>
      </c>
      <c r="K201" s="35" t="s">
        <v>48</v>
      </c>
      <c r="N201" s="29"/>
      <c r="Q201" s="31"/>
      <c r="R201" s="35" t="s">
        <v>48</v>
      </c>
      <c r="S201" s="28"/>
      <c r="T201" s="29"/>
      <c r="W201" s="31"/>
      <c r="X201" s="35" t="s">
        <v>48</v>
      </c>
      <c r="Y201" s="35"/>
      <c r="AG201" s="48"/>
      <c r="AI201" s="26"/>
      <c r="AW201" s="28">
        <f t="shared" si="19"/>
        <v>0</v>
      </c>
      <c r="AX201" s="28">
        <f t="shared" si="20"/>
        <v>0</v>
      </c>
    </row>
    <row r="202" spans="1:50" ht="24" customHeight="1">
      <c r="A202" s="50">
        <f t="shared" si="21"/>
        <v>100</v>
      </c>
      <c r="B202" s="51" t="s">
        <v>442</v>
      </c>
      <c r="C202" s="63">
        <v>47.2</v>
      </c>
      <c r="D202" s="51" t="s">
        <v>196</v>
      </c>
      <c r="K202" s="40">
        <f>SUM(K195:K200)</f>
        <v>65661.180000000008</v>
      </c>
      <c r="N202" s="29"/>
      <c r="Q202" s="31"/>
      <c r="R202" s="40">
        <f>SUM(R195:R200)</f>
        <v>74218.38</v>
      </c>
      <c r="S202" s="28"/>
      <c r="T202" s="29"/>
      <c r="W202" s="31"/>
      <c r="X202" s="40">
        <f>SUM(X195:X200)</f>
        <v>70672.38</v>
      </c>
      <c r="Y202" s="40"/>
      <c r="AG202" s="48"/>
      <c r="AI202" s="26"/>
      <c r="AW202" s="28">
        <f t="shared" si="19"/>
        <v>0</v>
      </c>
      <c r="AX202" s="28">
        <f t="shared" si="20"/>
        <v>0</v>
      </c>
    </row>
    <row r="203" spans="1:50" ht="24" customHeight="1">
      <c r="A203" s="50">
        <f t="shared" si="21"/>
        <v>101</v>
      </c>
      <c r="B203" s="51" t="s">
        <v>443</v>
      </c>
      <c r="C203" s="49">
        <v>125.6</v>
      </c>
      <c r="D203" s="51" t="s">
        <v>196</v>
      </c>
      <c r="E203" s="105">
        <v>162.9</v>
      </c>
      <c r="H203" s="103" t="s">
        <v>280</v>
      </c>
      <c r="K203" s="35" t="s">
        <v>48</v>
      </c>
      <c r="N203" s="29"/>
      <c r="O203" s="26" t="s">
        <v>280</v>
      </c>
      <c r="Q203" s="31"/>
      <c r="R203" s="35" t="s">
        <v>48</v>
      </c>
      <c r="S203" s="28"/>
      <c r="T203" s="29"/>
      <c r="U203" s="26" t="s">
        <v>280</v>
      </c>
      <c r="W203" s="31"/>
      <c r="X203" s="35" t="s">
        <v>48</v>
      </c>
      <c r="Y203" s="35"/>
      <c r="AG203" s="48"/>
      <c r="AI203" s="26"/>
      <c r="AW203" s="28">
        <f t="shared" si="19"/>
        <v>0</v>
      </c>
      <c r="AX203" s="28">
        <f t="shared" si="20"/>
        <v>0</v>
      </c>
    </row>
    <row r="204" spans="1:50" ht="24" customHeight="1">
      <c r="A204" s="50">
        <f t="shared" si="21"/>
        <v>102</v>
      </c>
      <c r="B204" s="51" t="s">
        <v>444</v>
      </c>
      <c r="C204" s="49">
        <v>62.2</v>
      </c>
      <c r="D204" s="51" t="s">
        <v>196</v>
      </c>
      <c r="K204" s="39">
        <f>(K202/10)</f>
        <v>6566.1180000000004</v>
      </c>
      <c r="N204" s="29"/>
      <c r="Q204" s="31"/>
      <c r="R204" s="40">
        <f>(R202/10)</f>
        <v>7421.8380000000006</v>
      </c>
      <c r="S204" s="28"/>
      <c r="T204" s="29"/>
      <c r="W204" s="31"/>
      <c r="X204" s="40">
        <f>(X202/10)</f>
        <v>7067.2380000000003</v>
      </c>
      <c r="Y204" s="40"/>
      <c r="AG204" s="48"/>
      <c r="AW204" s="28">
        <f t="shared" si="19"/>
        <v>0</v>
      </c>
      <c r="AX204" s="28">
        <f t="shared" si="20"/>
        <v>0</v>
      </c>
    </row>
    <row r="205" spans="1:50" ht="24" customHeight="1">
      <c r="A205" s="50">
        <f t="shared" si="21"/>
        <v>103</v>
      </c>
      <c r="B205" s="51" t="s">
        <v>445</v>
      </c>
      <c r="C205" s="49">
        <v>100</v>
      </c>
      <c r="D205" s="51" t="s">
        <v>196</v>
      </c>
      <c r="H205" s="42" t="s">
        <v>201</v>
      </c>
      <c r="K205" s="35" t="s">
        <v>41</v>
      </c>
      <c r="N205" s="29"/>
      <c r="O205" s="26" t="s">
        <v>201</v>
      </c>
      <c r="Q205" s="31"/>
      <c r="R205" s="35" t="s">
        <v>41</v>
      </c>
      <c r="S205" s="28"/>
      <c r="T205" s="29"/>
      <c r="U205" s="26" t="s">
        <v>201</v>
      </c>
      <c r="W205" s="31"/>
      <c r="X205" s="35" t="s">
        <v>41</v>
      </c>
      <c r="Y205" s="35"/>
      <c r="AG205" s="48"/>
      <c r="AW205" s="28">
        <f t="shared" si="19"/>
        <v>0</v>
      </c>
      <c r="AX205" s="28">
        <f t="shared" si="20"/>
        <v>0</v>
      </c>
    </row>
    <row r="206" spans="1:50" ht="24" customHeight="1">
      <c r="A206" s="50">
        <f t="shared" si="21"/>
        <v>104</v>
      </c>
      <c r="B206" s="51" t="s">
        <v>446</v>
      </c>
      <c r="C206" s="49">
        <v>99.6</v>
      </c>
      <c r="D206" s="51" t="s">
        <v>196</v>
      </c>
      <c r="E206" s="105">
        <v>138</v>
      </c>
      <c r="AG206" s="48"/>
      <c r="AI206" s="26"/>
      <c r="AW206" s="28">
        <f t="shared" si="19"/>
        <v>0</v>
      </c>
      <c r="AX206" s="28">
        <f t="shared" si="20"/>
        <v>0</v>
      </c>
    </row>
    <row r="207" spans="1:50" ht="24" customHeight="1">
      <c r="A207" s="50">
        <f t="shared" si="21"/>
        <v>105</v>
      </c>
      <c r="B207" s="51" t="s">
        <v>447</v>
      </c>
      <c r="C207" s="49">
        <v>223.2</v>
      </c>
      <c r="D207" s="51" t="s">
        <v>448</v>
      </c>
      <c r="F207" s="27" t="s">
        <v>449</v>
      </c>
      <c r="G207" s="38" t="s">
        <v>67</v>
      </c>
      <c r="H207" s="26" t="s">
        <v>450</v>
      </c>
      <c r="AG207" s="48"/>
      <c r="AW207" s="28">
        <f t="shared" si="19"/>
        <v>0</v>
      </c>
      <c r="AX207" s="28">
        <f t="shared" si="20"/>
        <v>0</v>
      </c>
    </row>
    <row r="208" spans="1:50" ht="24" customHeight="1">
      <c r="A208" s="50">
        <f t="shared" si="21"/>
        <v>106</v>
      </c>
      <c r="B208" s="51" t="s">
        <v>451</v>
      </c>
      <c r="C208" s="49">
        <v>162.9</v>
      </c>
      <c r="D208" s="51" t="s">
        <v>196</v>
      </c>
      <c r="H208" s="26" t="s">
        <v>292</v>
      </c>
      <c r="N208" s="26" t="s">
        <v>452</v>
      </c>
      <c r="O208" s="26" t="s">
        <v>453</v>
      </c>
      <c r="AG208" s="48"/>
      <c r="AW208" s="28">
        <f t="shared" si="19"/>
        <v>0</v>
      </c>
      <c r="AX208" s="28">
        <f t="shared" si="20"/>
        <v>0</v>
      </c>
    </row>
    <row r="209" spans="1:50" ht="24" customHeight="1">
      <c r="A209" s="66"/>
      <c r="B209" s="66"/>
      <c r="C209" s="66"/>
      <c r="D209" s="66"/>
      <c r="H209" s="35" t="s">
        <v>48</v>
      </c>
      <c r="O209" s="35" t="s">
        <v>48</v>
      </c>
      <c r="AG209" s="48"/>
      <c r="AW209" s="28">
        <f t="shared" si="19"/>
        <v>0</v>
      </c>
      <c r="AX209" s="28">
        <f t="shared" si="20"/>
        <v>0</v>
      </c>
    </row>
    <row r="210" spans="1:50" ht="24" customHeight="1">
      <c r="A210" s="66"/>
      <c r="B210" s="66"/>
      <c r="C210" s="66"/>
      <c r="D210" s="66"/>
      <c r="F210" s="40">
        <v>9</v>
      </c>
      <c r="G210" s="38" t="s">
        <v>93</v>
      </c>
      <c r="H210" s="26" t="s">
        <v>434</v>
      </c>
      <c r="I210" s="40">
        <f>C73</f>
        <v>2923.8</v>
      </c>
      <c r="J210" s="26" t="s">
        <v>93</v>
      </c>
      <c r="K210" s="40">
        <f>(F210*I210)</f>
        <v>26314.2</v>
      </c>
      <c r="M210" s="106">
        <v>1.153E-2</v>
      </c>
      <c r="N210" s="26" t="s">
        <v>93</v>
      </c>
      <c r="O210" s="26" t="s">
        <v>454</v>
      </c>
      <c r="P210" s="40">
        <f>C88</f>
        <v>111600</v>
      </c>
      <c r="Q210" s="26" t="s">
        <v>93</v>
      </c>
      <c r="R210" s="40">
        <f t="shared" ref="R210:R219" si="22">(M210*P210)</f>
        <v>1286.748</v>
      </c>
      <c r="AG210" s="48"/>
      <c r="AW210" s="28">
        <f t="shared" si="19"/>
        <v>0</v>
      </c>
      <c r="AX210" s="28">
        <f t="shared" si="20"/>
        <v>0</v>
      </c>
    </row>
    <row r="211" spans="1:50" ht="24" customHeight="1">
      <c r="A211" s="66"/>
      <c r="B211" s="66"/>
      <c r="C211" s="66"/>
      <c r="D211" s="66"/>
      <c r="F211" s="40">
        <v>4.5</v>
      </c>
      <c r="G211" s="38" t="s">
        <v>93</v>
      </c>
      <c r="H211" s="26" t="s">
        <v>125</v>
      </c>
      <c r="I211" s="40">
        <f>K23</f>
        <v>7063.64</v>
      </c>
      <c r="J211" s="26" t="s">
        <v>93</v>
      </c>
      <c r="K211" s="40">
        <f>(F211*I211)</f>
        <v>31786.38</v>
      </c>
      <c r="M211" s="106">
        <v>1.013E-2</v>
      </c>
      <c r="N211" s="26" t="s">
        <v>93</v>
      </c>
      <c r="O211" s="26" t="s">
        <v>455</v>
      </c>
      <c r="P211" s="40">
        <f>C89</f>
        <v>99400</v>
      </c>
      <c r="Q211" s="26" t="s">
        <v>93</v>
      </c>
      <c r="R211" s="40">
        <f t="shared" si="22"/>
        <v>1006.922</v>
      </c>
      <c r="AG211" s="48"/>
      <c r="AW211" s="28">
        <f t="shared" si="19"/>
        <v>0</v>
      </c>
      <c r="AX211" s="28">
        <f t="shared" si="20"/>
        <v>0</v>
      </c>
    </row>
    <row r="212" spans="1:50" ht="24" customHeight="1">
      <c r="A212" s="66"/>
      <c r="B212" s="66"/>
      <c r="C212" s="66"/>
      <c r="D212" s="66"/>
      <c r="F212" s="40">
        <v>1.8</v>
      </c>
      <c r="G212" s="38" t="s">
        <v>105</v>
      </c>
      <c r="H212" s="26" t="s">
        <v>269</v>
      </c>
      <c r="I212" s="40">
        <f>C11</f>
        <v>1005.1999999999999</v>
      </c>
      <c r="J212" s="26" t="s">
        <v>105</v>
      </c>
      <c r="K212" s="40">
        <f>(F212*I212)</f>
        <v>1809.36</v>
      </c>
      <c r="M212" s="106">
        <v>0.77780000000000005</v>
      </c>
      <c r="N212" s="26" t="s">
        <v>438</v>
      </c>
      <c r="O212" s="26" t="s">
        <v>456</v>
      </c>
      <c r="P212" s="40">
        <f>C783</f>
        <v>387.4</v>
      </c>
      <c r="Q212" s="26" t="s">
        <v>438</v>
      </c>
      <c r="R212" s="40">
        <f t="shared" si="22"/>
        <v>301.31972000000002</v>
      </c>
      <c r="AG212" s="48"/>
      <c r="AW212" s="28">
        <f t="shared" si="19"/>
        <v>0</v>
      </c>
      <c r="AX212" s="28">
        <f t="shared" si="20"/>
        <v>0</v>
      </c>
    </row>
    <row r="213" spans="1:50" ht="24" customHeight="1">
      <c r="A213" s="66"/>
      <c r="B213" s="66"/>
      <c r="C213" s="66"/>
      <c r="D213" s="66"/>
      <c r="F213" s="40">
        <v>17.7</v>
      </c>
      <c r="G213" s="38" t="s">
        <v>105</v>
      </c>
      <c r="H213" s="26" t="s">
        <v>271</v>
      </c>
      <c r="I213" s="40">
        <f>C12</f>
        <v>702.8</v>
      </c>
      <c r="J213" s="26" t="s">
        <v>105</v>
      </c>
      <c r="K213" s="40">
        <f>(F213*I213)</f>
        <v>12439.56</v>
      </c>
      <c r="M213" s="106">
        <v>1.23</v>
      </c>
      <c r="N213" s="26" t="s">
        <v>438</v>
      </c>
      <c r="O213" s="26" t="s">
        <v>457</v>
      </c>
      <c r="P213" s="40">
        <f>D30</f>
        <v>1348.1999999999998</v>
      </c>
      <c r="Q213" s="26" t="s">
        <v>438</v>
      </c>
      <c r="R213" s="40">
        <f t="shared" si="22"/>
        <v>1658.2859999999998</v>
      </c>
      <c r="AG213" s="48"/>
      <c r="AW213" s="28">
        <f t="shared" si="19"/>
        <v>0</v>
      </c>
      <c r="AX213" s="28">
        <f t="shared" si="20"/>
        <v>0</v>
      </c>
    </row>
    <row r="214" spans="1:50" ht="24" customHeight="1">
      <c r="A214" s="66"/>
      <c r="B214" s="66"/>
      <c r="C214" s="66"/>
      <c r="D214" s="66"/>
      <c r="F214" s="40">
        <v>14.1</v>
      </c>
      <c r="G214" s="38" t="s">
        <v>105</v>
      </c>
      <c r="H214" s="26" t="s">
        <v>276</v>
      </c>
      <c r="I214" s="40">
        <f>C13</f>
        <v>576.79999999999995</v>
      </c>
      <c r="J214" s="26" t="s">
        <v>105</v>
      </c>
      <c r="K214" s="40">
        <f>(F214*I214)</f>
        <v>8132.8799999999992</v>
      </c>
      <c r="M214" s="40">
        <v>2</v>
      </c>
      <c r="N214" s="26" t="s">
        <v>105</v>
      </c>
      <c r="O214" s="26" t="s">
        <v>458</v>
      </c>
      <c r="P214" s="40">
        <f>C284</f>
        <v>57.2</v>
      </c>
      <c r="Q214" s="26" t="s">
        <v>105</v>
      </c>
      <c r="R214" s="40">
        <f t="shared" si="22"/>
        <v>114.4</v>
      </c>
      <c r="AG214" s="48"/>
      <c r="AW214" s="28">
        <f t="shared" si="19"/>
        <v>0</v>
      </c>
      <c r="AX214" s="28">
        <f t="shared" si="20"/>
        <v>0</v>
      </c>
    </row>
    <row r="215" spans="1:50" ht="24" customHeight="1">
      <c r="A215" s="66"/>
      <c r="B215" s="66"/>
      <c r="C215" s="66"/>
      <c r="D215" s="66"/>
      <c r="G215" s="38" t="s">
        <v>106</v>
      </c>
      <c r="H215" s="26" t="s">
        <v>107</v>
      </c>
      <c r="J215" s="26" t="s">
        <v>106</v>
      </c>
      <c r="K215" s="40">
        <v>0</v>
      </c>
      <c r="M215" s="40">
        <v>3</v>
      </c>
      <c r="N215" s="26" t="s">
        <v>105</v>
      </c>
      <c r="O215" s="26" t="s">
        <v>459</v>
      </c>
      <c r="P215" s="40">
        <f>C279</f>
        <v>79.099999999999994</v>
      </c>
      <c r="Q215" s="26" t="s">
        <v>105</v>
      </c>
      <c r="R215" s="40">
        <f t="shared" si="22"/>
        <v>237.29999999999998</v>
      </c>
      <c r="AG215" s="48"/>
      <c r="AW215" s="28">
        <f t="shared" si="19"/>
        <v>0</v>
      </c>
      <c r="AX215" s="28">
        <f t="shared" si="20"/>
        <v>0</v>
      </c>
    </row>
    <row r="216" spans="1:50" ht="24" customHeight="1">
      <c r="A216" s="66"/>
      <c r="B216" s="66"/>
      <c r="C216" s="66"/>
      <c r="D216" s="66"/>
      <c r="K216" s="35" t="s">
        <v>48</v>
      </c>
      <c r="M216" s="40">
        <v>1</v>
      </c>
      <c r="N216" s="26" t="s">
        <v>105</v>
      </c>
      <c r="O216" s="26" t="s">
        <v>460</v>
      </c>
      <c r="P216" s="40">
        <f>C286</f>
        <v>159.69999999999999</v>
      </c>
      <c r="Q216" s="26" t="s">
        <v>105</v>
      </c>
      <c r="R216" s="40">
        <f t="shared" si="22"/>
        <v>159.69999999999999</v>
      </c>
      <c r="T216" s="28">
        <v>0</v>
      </c>
      <c r="AG216" s="48"/>
      <c r="AW216" s="28">
        <f t="shared" si="19"/>
        <v>0</v>
      </c>
      <c r="AX216" s="28">
        <f t="shared" si="20"/>
        <v>0</v>
      </c>
    </row>
    <row r="217" spans="1:50" ht="24" customHeight="1">
      <c r="A217" s="66"/>
      <c r="B217" s="66"/>
      <c r="C217" s="66"/>
      <c r="D217" s="66"/>
      <c r="K217" s="40">
        <f>SUM(K210:K215)</f>
        <v>80482.38</v>
      </c>
      <c r="M217" s="40">
        <v>1</v>
      </c>
      <c r="N217" s="26" t="s">
        <v>105</v>
      </c>
      <c r="O217" s="26" t="s">
        <v>461</v>
      </c>
      <c r="P217" s="40">
        <f>C288</f>
        <v>7.3</v>
      </c>
      <c r="Q217" s="26" t="s">
        <v>105</v>
      </c>
      <c r="R217" s="40">
        <f t="shared" si="22"/>
        <v>7.3</v>
      </c>
      <c r="AG217" s="48"/>
      <c r="AW217" s="28">
        <f t="shared" si="19"/>
        <v>0</v>
      </c>
      <c r="AX217" s="28">
        <f t="shared" si="20"/>
        <v>0</v>
      </c>
    </row>
    <row r="218" spans="1:50" ht="24" customHeight="1">
      <c r="A218" s="66"/>
      <c r="B218" s="66"/>
      <c r="C218" s="66"/>
      <c r="D218" s="66"/>
      <c r="H218" s="26" t="s">
        <v>280</v>
      </c>
      <c r="K218" s="35" t="s">
        <v>48</v>
      </c>
      <c r="M218" s="40">
        <v>1</v>
      </c>
      <c r="N218" s="26" t="s">
        <v>105</v>
      </c>
      <c r="O218" s="26" t="s">
        <v>462</v>
      </c>
      <c r="P218" s="40">
        <f>C598</f>
        <v>50.9</v>
      </c>
      <c r="Q218" s="26" t="s">
        <v>105</v>
      </c>
      <c r="R218" s="40">
        <f t="shared" si="22"/>
        <v>50.9</v>
      </c>
      <c r="AG218" s="48"/>
    </row>
    <row r="219" spans="1:50" ht="24" customHeight="1">
      <c r="A219" s="66"/>
      <c r="B219" s="66"/>
      <c r="C219" s="66"/>
      <c r="D219" s="66"/>
      <c r="K219" s="39">
        <f>(K217/10)</f>
        <v>8048.2380000000003</v>
      </c>
      <c r="M219" s="40">
        <v>1</v>
      </c>
      <c r="N219" s="26" t="s">
        <v>105</v>
      </c>
      <c r="O219" s="26" t="s">
        <v>463</v>
      </c>
      <c r="P219" s="40">
        <f>D598</f>
        <v>43.8</v>
      </c>
      <c r="Q219" s="26" t="s">
        <v>105</v>
      </c>
      <c r="R219" s="40">
        <f t="shared" si="22"/>
        <v>43.8</v>
      </c>
      <c r="AG219" s="48"/>
    </row>
    <row r="220" spans="1:50" ht="24" customHeight="1">
      <c r="A220" s="66"/>
      <c r="B220" s="66"/>
      <c r="C220" s="66"/>
      <c r="D220" s="66"/>
      <c r="H220" s="42" t="s">
        <v>201</v>
      </c>
      <c r="K220" s="35" t="s">
        <v>41</v>
      </c>
      <c r="R220" s="35" t="s">
        <v>48</v>
      </c>
      <c r="AG220" s="48"/>
    </row>
    <row r="221" spans="1:50" ht="24" customHeight="1">
      <c r="A221" s="66"/>
      <c r="B221" s="66"/>
      <c r="C221" s="66"/>
      <c r="D221" s="66"/>
      <c r="O221" s="27" t="s">
        <v>464</v>
      </c>
      <c r="R221" s="40">
        <f>SUM(R210:R219)</f>
        <v>4866.6757199999993</v>
      </c>
      <c r="AG221" s="48"/>
    </row>
    <row r="222" spans="1:50" ht="24" customHeight="1">
      <c r="A222" s="66"/>
      <c r="B222" s="66"/>
      <c r="C222" s="66"/>
      <c r="D222" s="66"/>
      <c r="F222" s="27" t="s">
        <v>465</v>
      </c>
      <c r="G222" s="38" t="s">
        <v>67</v>
      </c>
      <c r="H222" s="26" t="s">
        <v>466</v>
      </c>
      <c r="N222" s="26" t="s">
        <v>27</v>
      </c>
      <c r="R222" s="35" t="s">
        <v>48</v>
      </c>
      <c r="AG222" s="48"/>
    </row>
    <row r="223" spans="1:50" ht="24" customHeight="1">
      <c r="A223" s="66"/>
      <c r="B223" s="66"/>
      <c r="C223" s="66"/>
      <c r="D223" s="66"/>
      <c r="H223" s="26" t="s">
        <v>467</v>
      </c>
      <c r="M223" s="26" t="s">
        <v>27</v>
      </c>
      <c r="AG223" s="48"/>
    </row>
    <row r="224" spans="1:50" ht="24" customHeight="1">
      <c r="A224" s="66"/>
      <c r="B224" s="66"/>
      <c r="C224" s="66"/>
      <c r="D224" s="66"/>
      <c r="H224" s="35" t="s">
        <v>48</v>
      </c>
      <c r="O224" s="27" t="s">
        <v>403</v>
      </c>
      <c r="R224" s="40">
        <f>R221/M213</f>
        <v>3956.6469268292676</v>
      </c>
      <c r="AG224" s="48"/>
    </row>
    <row r="225" spans="1:33" ht="24" customHeight="1">
      <c r="A225" s="66"/>
      <c r="B225" s="66"/>
      <c r="C225" s="66"/>
      <c r="D225" s="66"/>
      <c r="F225" s="40">
        <v>9</v>
      </c>
      <c r="G225" s="38" t="s">
        <v>93</v>
      </c>
      <c r="H225" s="26" t="s">
        <v>468</v>
      </c>
      <c r="I225" s="40">
        <f>AE20</f>
        <v>1833.85</v>
      </c>
      <c r="J225" s="26" t="s">
        <v>93</v>
      </c>
      <c r="K225" s="40">
        <f>(F225*I225)</f>
        <v>16504.649999999998</v>
      </c>
      <c r="M225" s="26" t="s">
        <v>469</v>
      </c>
      <c r="AG225" s="48"/>
    </row>
    <row r="226" spans="1:33" ht="24" customHeight="1">
      <c r="A226" s="66"/>
      <c r="B226" s="66"/>
      <c r="C226" s="66"/>
      <c r="D226" s="66"/>
      <c r="F226" s="40">
        <v>4.5</v>
      </c>
      <c r="G226" s="38" t="s">
        <v>93</v>
      </c>
      <c r="H226" s="26" t="s">
        <v>267</v>
      </c>
      <c r="I226" s="40">
        <f>K77</f>
        <v>3931.6400000000003</v>
      </c>
      <c r="J226" s="26" t="s">
        <v>93</v>
      </c>
      <c r="K226" s="40">
        <f>(F226*I226)</f>
        <v>17692.38</v>
      </c>
      <c r="AG226" s="48"/>
    </row>
    <row r="227" spans="1:33" ht="24" customHeight="1">
      <c r="A227" s="66"/>
      <c r="B227" s="66"/>
      <c r="C227" s="66"/>
      <c r="D227" s="66"/>
      <c r="F227" s="40">
        <v>1.8</v>
      </c>
      <c r="G227" s="38" t="s">
        <v>105</v>
      </c>
      <c r="H227" s="26" t="s">
        <v>269</v>
      </c>
      <c r="I227" s="40">
        <f>C11</f>
        <v>1005.1999999999999</v>
      </c>
      <c r="J227" s="26" t="s">
        <v>105</v>
      </c>
      <c r="K227" s="40">
        <f>(F227*I227)</f>
        <v>1809.36</v>
      </c>
      <c r="AG227" s="48"/>
    </row>
    <row r="228" spans="1:33" ht="24" customHeight="1">
      <c r="A228" s="66"/>
      <c r="B228" s="66"/>
      <c r="C228" s="66"/>
      <c r="D228" s="66"/>
      <c r="F228" s="40">
        <v>17.7</v>
      </c>
      <c r="G228" s="38" t="s">
        <v>105</v>
      </c>
      <c r="H228" s="26" t="s">
        <v>271</v>
      </c>
      <c r="I228" s="40">
        <f>C12</f>
        <v>702.8</v>
      </c>
      <c r="J228" s="26" t="s">
        <v>105</v>
      </c>
      <c r="K228" s="40">
        <f>(F228*I228)</f>
        <v>12439.56</v>
      </c>
      <c r="M228" s="27" t="s">
        <v>465</v>
      </c>
      <c r="N228" s="38" t="s">
        <v>67</v>
      </c>
      <c r="O228" s="26" t="s">
        <v>470</v>
      </c>
      <c r="Q228" s="31"/>
      <c r="AG228" s="48"/>
    </row>
    <row r="229" spans="1:33" ht="24" customHeight="1">
      <c r="A229" s="66"/>
      <c r="B229" s="66"/>
      <c r="C229" s="66"/>
      <c r="D229" s="66"/>
      <c r="F229" s="40">
        <v>14.1</v>
      </c>
      <c r="G229" s="38" t="s">
        <v>105</v>
      </c>
      <c r="H229" s="26" t="s">
        <v>276</v>
      </c>
      <c r="I229" s="40">
        <f>C13</f>
        <v>576.79999999999995</v>
      </c>
      <c r="J229" s="26" t="s">
        <v>105</v>
      </c>
      <c r="K229" s="40">
        <f>(F229*I229)</f>
        <v>8132.8799999999992</v>
      </c>
      <c r="N229" s="29"/>
      <c r="O229" s="26" t="s">
        <v>471</v>
      </c>
      <c r="Q229" s="31"/>
      <c r="AG229" s="48"/>
    </row>
    <row r="230" spans="1:33" ht="24" customHeight="1">
      <c r="A230" s="66"/>
      <c r="B230" s="66"/>
      <c r="C230" s="66"/>
      <c r="D230" s="66"/>
      <c r="G230" s="38" t="s">
        <v>106</v>
      </c>
      <c r="H230" s="26" t="s">
        <v>107</v>
      </c>
      <c r="J230" s="26" t="s">
        <v>106</v>
      </c>
      <c r="K230" s="40">
        <v>0</v>
      </c>
      <c r="N230" s="29"/>
      <c r="O230" s="35" t="s">
        <v>48</v>
      </c>
      <c r="Q230" s="31"/>
      <c r="AG230" s="48"/>
    </row>
    <row r="231" spans="1:33" ht="24" customHeight="1">
      <c r="A231" s="66"/>
      <c r="B231" s="66"/>
      <c r="C231" s="66"/>
      <c r="D231" s="66"/>
      <c r="K231" s="35" t="s">
        <v>48</v>
      </c>
      <c r="M231" s="40">
        <v>9</v>
      </c>
      <c r="N231" s="38" t="s">
        <v>93</v>
      </c>
      <c r="O231" s="26" t="s">
        <v>472</v>
      </c>
      <c r="P231" s="40">
        <f>AE15</f>
        <v>2529.8000000000002</v>
      </c>
      <c r="Q231" s="26" t="s">
        <v>93</v>
      </c>
      <c r="R231" s="40">
        <f>(M231*P231)</f>
        <v>22768.2</v>
      </c>
      <c r="AG231" s="48"/>
    </row>
    <row r="232" spans="1:33" ht="24" customHeight="1">
      <c r="A232" s="66"/>
      <c r="B232" s="66"/>
      <c r="C232" s="66"/>
      <c r="D232" s="66"/>
      <c r="K232" s="40">
        <f>SUM(K225:K230)</f>
        <v>56578.829999999994</v>
      </c>
      <c r="M232" s="40">
        <v>4.5</v>
      </c>
      <c r="N232" s="38" t="s">
        <v>93</v>
      </c>
      <c r="O232" s="26" t="s">
        <v>218</v>
      </c>
      <c r="P232" s="40">
        <f>K40</f>
        <v>4975.6400000000003</v>
      </c>
      <c r="Q232" s="26" t="s">
        <v>93</v>
      </c>
      <c r="R232" s="40">
        <f>(M232*P232)</f>
        <v>22390.38</v>
      </c>
      <c r="AG232" s="48"/>
    </row>
    <row r="233" spans="1:33" ht="24" customHeight="1">
      <c r="A233" s="66"/>
      <c r="B233" s="66"/>
      <c r="C233" s="66"/>
      <c r="D233" s="66"/>
      <c r="H233" s="26" t="s">
        <v>280</v>
      </c>
      <c r="K233" s="35" t="s">
        <v>48</v>
      </c>
      <c r="M233" s="40">
        <v>1.8</v>
      </c>
      <c r="N233" s="38" t="s">
        <v>105</v>
      </c>
      <c r="O233" s="26" t="s">
        <v>269</v>
      </c>
      <c r="P233" s="40">
        <f>I227</f>
        <v>1005.1999999999999</v>
      </c>
      <c r="Q233" s="26" t="s">
        <v>105</v>
      </c>
      <c r="R233" s="40">
        <f>(M233*P233)</f>
        <v>1809.36</v>
      </c>
      <c r="AG233" s="48"/>
    </row>
    <row r="234" spans="1:33" ht="24" customHeight="1">
      <c r="A234" s="66"/>
      <c r="B234" s="66"/>
      <c r="C234" s="66"/>
      <c r="D234" s="66"/>
      <c r="K234" s="39">
        <f>(K232/10)</f>
        <v>5657.8829999999998</v>
      </c>
      <c r="M234" s="40">
        <v>17.7</v>
      </c>
      <c r="N234" s="38" t="s">
        <v>105</v>
      </c>
      <c r="O234" s="26" t="s">
        <v>271</v>
      </c>
      <c r="P234" s="40">
        <f>I228</f>
        <v>702.8</v>
      </c>
      <c r="Q234" s="26" t="s">
        <v>105</v>
      </c>
      <c r="R234" s="40">
        <f>(M234*P234)</f>
        <v>12439.56</v>
      </c>
      <c r="AG234" s="48"/>
    </row>
    <row r="235" spans="1:33" ht="24" customHeight="1">
      <c r="A235" s="66"/>
      <c r="B235" s="66"/>
      <c r="C235" s="66"/>
      <c r="D235" s="66"/>
      <c r="H235" s="42" t="s">
        <v>201</v>
      </c>
      <c r="K235" s="35" t="s">
        <v>41</v>
      </c>
      <c r="M235" s="40">
        <v>14.1</v>
      </c>
      <c r="N235" s="38" t="s">
        <v>105</v>
      </c>
      <c r="O235" s="26" t="s">
        <v>276</v>
      </c>
      <c r="P235" s="40">
        <f>I229</f>
        <v>576.79999999999995</v>
      </c>
      <c r="Q235" s="26" t="s">
        <v>105</v>
      </c>
      <c r="R235" s="40">
        <f>(M235*P235)</f>
        <v>8132.8799999999992</v>
      </c>
      <c r="AG235" s="48"/>
    </row>
    <row r="236" spans="1:33" ht="24" customHeight="1">
      <c r="A236" s="66"/>
      <c r="B236" s="66"/>
      <c r="C236" s="66"/>
      <c r="D236" s="66"/>
      <c r="N236" s="38" t="s">
        <v>106</v>
      </c>
      <c r="O236" s="26" t="s">
        <v>107</v>
      </c>
      <c r="Q236" s="26" t="s">
        <v>106</v>
      </c>
      <c r="R236" s="40">
        <v>0</v>
      </c>
      <c r="AG236" s="48"/>
    </row>
    <row r="237" spans="1:33" ht="24" customHeight="1">
      <c r="A237" s="66"/>
      <c r="B237" s="66"/>
      <c r="C237" s="66"/>
      <c r="D237" s="66"/>
      <c r="N237" s="29"/>
      <c r="Q237" s="31"/>
      <c r="R237" s="35" t="s">
        <v>48</v>
      </c>
      <c r="AG237" s="48"/>
    </row>
    <row r="238" spans="1:33" ht="24" customHeight="1">
      <c r="A238" s="66"/>
      <c r="B238" s="66"/>
      <c r="C238" s="66"/>
      <c r="D238" s="66"/>
      <c r="F238" s="77">
        <v>3.6</v>
      </c>
      <c r="H238" s="26" t="s">
        <v>473</v>
      </c>
      <c r="N238" s="29"/>
      <c r="Q238" s="31"/>
      <c r="R238" s="40">
        <f>SUM(R231:R236)</f>
        <v>67540.38</v>
      </c>
      <c r="AG238" s="48"/>
    </row>
    <row r="239" spans="1:33" ht="24" customHeight="1">
      <c r="A239" s="66"/>
      <c r="B239" s="66"/>
      <c r="C239" s="66"/>
      <c r="D239" s="66"/>
      <c r="H239" s="26" t="s">
        <v>474</v>
      </c>
      <c r="N239" s="29"/>
      <c r="O239" s="26" t="s">
        <v>280</v>
      </c>
      <c r="Q239" s="31"/>
      <c r="R239" s="35" t="s">
        <v>48</v>
      </c>
      <c r="AG239" s="48"/>
    </row>
    <row r="240" spans="1:33" ht="24" customHeight="1">
      <c r="A240" s="66"/>
      <c r="B240" s="66"/>
      <c r="C240" s="66"/>
      <c r="D240" s="66"/>
      <c r="H240" s="35" t="s">
        <v>41</v>
      </c>
      <c r="N240" s="29"/>
      <c r="Q240" s="31"/>
      <c r="R240" s="39">
        <f>(R238/10)</f>
        <v>6754.0380000000005</v>
      </c>
      <c r="AG240" s="48"/>
    </row>
    <row r="241" spans="1:33" ht="24" customHeight="1">
      <c r="A241" s="66"/>
      <c r="B241" s="66"/>
      <c r="C241" s="66"/>
      <c r="D241" s="66"/>
      <c r="F241" s="40">
        <v>1.25</v>
      </c>
      <c r="G241" s="38" t="s">
        <v>475</v>
      </c>
      <c r="H241" s="26" t="s">
        <v>476</v>
      </c>
      <c r="I241" s="104">
        <f>C812</f>
        <v>3.15</v>
      </c>
      <c r="J241" s="26" t="s">
        <v>475</v>
      </c>
      <c r="K241" s="40">
        <f>(F241*I241)</f>
        <v>3.9375</v>
      </c>
      <c r="N241" s="29"/>
      <c r="O241" s="42" t="s">
        <v>201</v>
      </c>
      <c r="Q241" s="31"/>
      <c r="R241" s="35" t="s">
        <v>41</v>
      </c>
      <c r="AG241" s="48"/>
    </row>
    <row r="242" spans="1:33" ht="24" customHeight="1">
      <c r="A242" s="66"/>
      <c r="B242" s="66"/>
      <c r="C242" s="66"/>
      <c r="D242" s="66"/>
      <c r="F242" s="40">
        <v>0.75</v>
      </c>
      <c r="G242" s="38" t="s">
        <v>475</v>
      </c>
      <c r="H242" s="26" t="s">
        <v>477</v>
      </c>
      <c r="I242" s="40">
        <f>AE37</f>
        <v>2321.5500000000002</v>
      </c>
      <c r="J242" s="26" t="s">
        <v>475</v>
      </c>
      <c r="K242" s="40">
        <f>(F242*I242)</f>
        <v>1741.1625000000001</v>
      </c>
      <c r="AG242" s="48"/>
    </row>
    <row r="243" spans="1:33" ht="24" customHeight="1">
      <c r="A243" s="66"/>
      <c r="B243" s="66"/>
      <c r="C243" s="66"/>
      <c r="D243" s="66"/>
      <c r="F243" s="40">
        <v>0.5</v>
      </c>
      <c r="G243" s="38" t="s">
        <v>475</v>
      </c>
      <c r="H243" s="26" t="s">
        <v>478</v>
      </c>
      <c r="I243" s="40">
        <f>AE36</f>
        <v>2466.8000000000002</v>
      </c>
      <c r="J243" s="26" t="s">
        <v>475</v>
      </c>
      <c r="K243" s="40">
        <f>(F243*I243)</f>
        <v>1233.4000000000001</v>
      </c>
      <c r="AG243" s="48"/>
    </row>
    <row r="244" spans="1:33" ht="24" customHeight="1">
      <c r="A244" s="66"/>
      <c r="B244" s="66"/>
      <c r="C244" s="66"/>
      <c r="D244" s="66"/>
      <c r="F244" s="40">
        <v>0.45</v>
      </c>
      <c r="G244" s="38" t="s">
        <v>475</v>
      </c>
      <c r="H244" s="26" t="s">
        <v>479</v>
      </c>
      <c r="I244" s="40">
        <f>AE38</f>
        <v>210</v>
      </c>
      <c r="J244" s="26" t="s">
        <v>475</v>
      </c>
      <c r="K244" s="40">
        <f>(F244*I244)</f>
        <v>94.5</v>
      </c>
      <c r="AG244" s="48"/>
    </row>
    <row r="245" spans="1:33" ht="24" customHeight="1">
      <c r="A245" s="66"/>
      <c r="B245" s="66"/>
      <c r="C245" s="66"/>
      <c r="D245" s="66"/>
      <c r="F245" s="40">
        <v>10</v>
      </c>
      <c r="G245" s="38" t="s">
        <v>480</v>
      </c>
      <c r="H245" s="26" t="s">
        <v>481</v>
      </c>
      <c r="I245" s="104">
        <v>17.82</v>
      </c>
      <c r="J245" s="26" t="s">
        <v>480</v>
      </c>
      <c r="K245" s="40">
        <f>(F245*I245)</f>
        <v>178.2</v>
      </c>
      <c r="AG245" s="48"/>
    </row>
    <row r="246" spans="1:33" ht="24" customHeight="1">
      <c r="A246" s="66"/>
      <c r="B246" s="66"/>
      <c r="C246" s="66"/>
      <c r="D246" s="66"/>
      <c r="H246" s="26" t="s">
        <v>482</v>
      </c>
      <c r="K246" s="35" t="s">
        <v>48</v>
      </c>
      <c r="AG246" s="48"/>
    </row>
    <row r="247" spans="1:33" ht="24" customHeight="1">
      <c r="A247" s="66"/>
      <c r="B247" s="66"/>
      <c r="C247" s="66"/>
      <c r="D247" s="66"/>
      <c r="H247" s="26" t="s">
        <v>483</v>
      </c>
      <c r="K247" s="40">
        <f>SUM(K241:K245)</f>
        <v>3251.2</v>
      </c>
      <c r="AG247" s="48"/>
    </row>
    <row r="248" spans="1:33" ht="24" customHeight="1">
      <c r="A248" s="66"/>
      <c r="B248" s="66"/>
      <c r="C248" s="66"/>
      <c r="D248" s="66"/>
      <c r="K248" s="35" t="s">
        <v>48</v>
      </c>
      <c r="AG248" s="48"/>
    </row>
    <row r="249" spans="1:33" ht="24" customHeight="1">
      <c r="A249" s="66"/>
      <c r="B249" s="66"/>
      <c r="C249" s="66"/>
      <c r="D249" s="66"/>
      <c r="H249" s="42" t="s">
        <v>484</v>
      </c>
      <c r="K249" s="39">
        <f>K247/10</f>
        <v>325.12</v>
      </c>
      <c r="AG249" s="48"/>
    </row>
    <row r="250" spans="1:33" ht="24" customHeight="1">
      <c r="A250" s="66"/>
      <c r="B250" s="66"/>
      <c r="C250" s="66"/>
      <c r="D250" s="66"/>
      <c r="K250" s="35" t="s">
        <v>41</v>
      </c>
      <c r="AG250" s="48"/>
    </row>
    <row r="251" spans="1:33" ht="24" customHeight="1">
      <c r="A251" s="66"/>
      <c r="B251" s="66"/>
      <c r="C251" s="66"/>
      <c r="D251" s="66"/>
      <c r="AG251" s="48"/>
    </row>
    <row r="252" spans="1:33" ht="24" customHeight="1">
      <c r="A252" s="66"/>
      <c r="B252" s="66"/>
      <c r="C252" s="66"/>
      <c r="D252" s="66"/>
      <c r="F252" s="77">
        <v>3.7</v>
      </c>
      <c r="H252" s="26" t="s">
        <v>485</v>
      </c>
      <c r="AG252" s="48"/>
    </row>
    <row r="253" spans="1:33" ht="24" customHeight="1">
      <c r="A253" s="66"/>
      <c r="B253" s="66"/>
      <c r="C253" s="66"/>
      <c r="D253" s="66"/>
      <c r="H253" s="35" t="s">
        <v>48</v>
      </c>
      <c r="AG253" s="48"/>
    </row>
    <row r="254" spans="1:33" ht="24" customHeight="1">
      <c r="A254" s="66"/>
      <c r="B254" s="66"/>
      <c r="C254" s="66"/>
      <c r="D254" s="66"/>
      <c r="F254" s="40">
        <v>2.7</v>
      </c>
      <c r="G254" s="38" t="s">
        <v>475</v>
      </c>
      <c r="H254" s="26" t="s">
        <v>486</v>
      </c>
      <c r="I254" s="40">
        <f>AE35</f>
        <v>2360.8000000000002</v>
      </c>
      <c r="J254" s="26" t="s">
        <v>475</v>
      </c>
      <c r="K254" s="40">
        <f>(F254*I254)</f>
        <v>6374.1600000000008</v>
      </c>
      <c r="AG254" s="48"/>
    </row>
    <row r="255" spans="1:33" ht="24" customHeight="1">
      <c r="A255" s="66"/>
      <c r="B255" s="66"/>
      <c r="C255" s="66"/>
      <c r="D255" s="66"/>
      <c r="F255" s="107">
        <v>0.14499999999999999</v>
      </c>
      <c r="G255" s="38" t="s">
        <v>475</v>
      </c>
      <c r="H255" s="26" t="s">
        <v>487</v>
      </c>
      <c r="I255" s="40">
        <f>AE17</f>
        <v>2765.84</v>
      </c>
      <c r="J255" s="26" t="s">
        <v>475</v>
      </c>
      <c r="K255" s="40">
        <f>(F255*I255)</f>
        <v>401.04680000000002</v>
      </c>
      <c r="AG255" s="48"/>
    </row>
    <row r="256" spans="1:33" ht="24" customHeight="1">
      <c r="A256" s="66"/>
      <c r="B256" s="66"/>
      <c r="C256" s="66"/>
      <c r="D256" s="66"/>
      <c r="F256" s="40">
        <v>218.8</v>
      </c>
      <c r="G256" s="38" t="s">
        <v>488</v>
      </c>
      <c r="H256" s="26" t="s">
        <v>489</v>
      </c>
      <c r="I256" s="40">
        <f>C142</f>
        <v>43563.69</v>
      </c>
      <c r="J256" s="26" t="s">
        <v>488</v>
      </c>
      <c r="K256" s="40">
        <f>(F256*I256)/1000</f>
        <v>9531.735372000001</v>
      </c>
      <c r="AG256" s="48"/>
    </row>
    <row r="257" spans="1:35" ht="24" customHeight="1">
      <c r="A257" s="66"/>
      <c r="B257" s="66"/>
      <c r="C257" s="66"/>
      <c r="D257" s="66"/>
      <c r="F257" s="40">
        <v>100</v>
      </c>
      <c r="G257" s="38" t="s">
        <v>480</v>
      </c>
      <c r="H257" s="26" t="s">
        <v>490</v>
      </c>
      <c r="I257" s="104">
        <v>14.3</v>
      </c>
      <c r="J257" s="26" t="s">
        <v>480</v>
      </c>
      <c r="K257" s="40">
        <f>(F257*I257)</f>
        <v>1430</v>
      </c>
      <c r="AG257" s="48"/>
    </row>
    <row r="258" spans="1:35" ht="24" customHeight="1">
      <c r="A258" s="66"/>
      <c r="B258" s="66"/>
      <c r="C258" s="66"/>
      <c r="D258" s="66"/>
      <c r="K258" s="35" t="s">
        <v>48</v>
      </c>
      <c r="AG258" s="48"/>
    </row>
    <row r="259" spans="1:35" ht="24" customHeight="1">
      <c r="A259" s="66"/>
      <c r="B259" s="66"/>
      <c r="C259" s="66"/>
      <c r="D259" s="66"/>
      <c r="H259" s="26" t="s">
        <v>491</v>
      </c>
      <c r="K259" s="40">
        <f>SUM(K254:K257)</f>
        <v>17736.942172000003</v>
      </c>
      <c r="AG259" s="48"/>
    </row>
    <row r="260" spans="1:35" ht="24" customHeight="1">
      <c r="A260" s="66"/>
      <c r="B260" s="66"/>
      <c r="C260" s="66"/>
      <c r="D260" s="66"/>
      <c r="K260" s="35" t="s">
        <v>48</v>
      </c>
      <c r="AG260" s="48"/>
    </row>
    <row r="261" spans="1:35" ht="24" customHeight="1">
      <c r="A261" s="66"/>
      <c r="B261" s="66"/>
      <c r="C261" s="66"/>
      <c r="D261" s="66"/>
      <c r="H261" s="42" t="s">
        <v>484</v>
      </c>
      <c r="K261" s="39">
        <f>K259/100</f>
        <v>177.36942172000002</v>
      </c>
      <c r="AG261" s="48"/>
    </row>
    <row r="262" spans="1:35" ht="24" customHeight="1">
      <c r="A262" s="66"/>
      <c r="B262" s="66"/>
      <c r="C262" s="66"/>
      <c r="D262" s="66"/>
      <c r="F262" s="26" t="s">
        <v>27</v>
      </c>
      <c r="G262" s="38" t="s">
        <v>27</v>
      </c>
      <c r="K262" s="35" t="s">
        <v>41</v>
      </c>
      <c r="AG262" s="48"/>
    </row>
    <row r="263" spans="1:35" ht="24" customHeight="1">
      <c r="A263" s="66"/>
      <c r="B263" s="66"/>
      <c r="C263" s="66"/>
      <c r="D263" s="66"/>
      <c r="AG263" s="48"/>
    </row>
    <row r="264" spans="1:35" ht="24" customHeight="1">
      <c r="A264" s="66"/>
      <c r="B264" s="66"/>
      <c r="C264" s="66"/>
      <c r="D264" s="66"/>
      <c r="AG264" s="48"/>
    </row>
    <row r="265" spans="1:35" ht="24" customHeight="1">
      <c r="A265" s="50">
        <f>(A206+1)</f>
        <v>105</v>
      </c>
      <c r="B265" s="108" t="s">
        <v>492</v>
      </c>
      <c r="C265" s="47">
        <v>138</v>
      </c>
      <c r="D265" s="51" t="s">
        <v>196</v>
      </c>
      <c r="F265" s="27" t="s">
        <v>493</v>
      </c>
      <c r="H265" s="26" t="s">
        <v>494</v>
      </c>
      <c r="N265" s="26" t="s">
        <v>386</v>
      </c>
      <c r="O265" s="26" t="s">
        <v>495</v>
      </c>
      <c r="AG265" s="48"/>
      <c r="AI265" s="26"/>
    </row>
    <row r="266" spans="1:35" ht="24" customHeight="1">
      <c r="A266" s="50">
        <f t="shared" ref="A266:A280" si="23">(A265+1)</f>
        <v>106</v>
      </c>
      <c r="B266" s="108" t="s">
        <v>496</v>
      </c>
      <c r="C266" s="49">
        <v>167.1</v>
      </c>
      <c r="D266" s="51" t="s">
        <v>196</v>
      </c>
      <c r="H266" s="35" t="s">
        <v>41</v>
      </c>
      <c r="O266" s="35" t="s">
        <v>48</v>
      </c>
      <c r="AG266" s="48"/>
      <c r="AI266" s="26"/>
    </row>
    <row r="267" spans="1:35" ht="24" customHeight="1">
      <c r="A267" s="50">
        <f t="shared" si="23"/>
        <v>107</v>
      </c>
      <c r="B267" s="109" t="s">
        <v>497</v>
      </c>
      <c r="C267" s="110">
        <v>63</v>
      </c>
      <c r="D267" s="49">
        <v>132.69999999999999</v>
      </c>
      <c r="G267" s="38" t="s">
        <v>67</v>
      </c>
      <c r="H267" s="26" t="s">
        <v>498</v>
      </c>
      <c r="M267" s="40">
        <v>1.1399999999999999</v>
      </c>
      <c r="N267" s="26" t="s">
        <v>93</v>
      </c>
      <c r="O267" s="26" t="s">
        <v>422</v>
      </c>
      <c r="P267" s="40">
        <f>(K420)</f>
        <v>7228.7147599999998</v>
      </c>
      <c r="Q267" s="26" t="s">
        <v>105</v>
      </c>
      <c r="R267" s="40">
        <f>(M267*P267)</f>
        <v>8240.7348263999993</v>
      </c>
      <c r="AG267" s="48"/>
      <c r="AI267" s="26"/>
    </row>
    <row r="268" spans="1:35" ht="39" customHeight="1">
      <c r="A268" s="50">
        <f t="shared" si="23"/>
        <v>108</v>
      </c>
      <c r="B268" s="111" t="s">
        <v>499</v>
      </c>
      <c r="C268" s="47">
        <v>17600</v>
      </c>
      <c r="D268" s="51" t="s">
        <v>93</v>
      </c>
      <c r="H268" s="26" t="s">
        <v>500</v>
      </c>
      <c r="M268" s="40">
        <v>1</v>
      </c>
      <c r="N268" s="26" t="s">
        <v>196</v>
      </c>
      <c r="O268" s="26" t="s">
        <v>298</v>
      </c>
      <c r="P268" s="40">
        <f>(C10)</f>
        <v>1076.5999999999999</v>
      </c>
      <c r="Q268" s="26" t="s">
        <v>105</v>
      </c>
      <c r="R268" s="40">
        <f>(M268*P268)</f>
        <v>1076.5999999999999</v>
      </c>
      <c r="AG268" s="48"/>
      <c r="AI268" s="26"/>
    </row>
    <row r="269" spans="1:35" ht="24" customHeight="1">
      <c r="A269" s="50">
        <f t="shared" si="23"/>
        <v>109</v>
      </c>
      <c r="B269" s="51" t="s">
        <v>501</v>
      </c>
      <c r="C269" s="47">
        <v>15500</v>
      </c>
      <c r="D269" s="51" t="s">
        <v>93</v>
      </c>
      <c r="H269" s="35" t="s">
        <v>48</v>
      </c>
      <c r="N269" s="26" t="s">
        <v>106</v>
      </c>
      <c r="O269" s="26" t="s">
        <v>107</v>
      </c>
      <c r="P269" s="26" t="s">
        <v>27</v>
      </c>
      <c r="Q269" s="26" t="s">
        <v>106</v>
      </c>
      <c r="R269" s="40">
        <v>0.05</v>
      </c>
      <c r="AG269" s="48"/>
      <c r="AI269" s="26"/>
    </row>
    <row r="270" spans="1:35" ht="24" customHeight="1">
      <c r="A270" s="50">
        <f t="shared" si="23"/>
        <v>110</v>
      </c>
      <c r="B270" s="51" t="s">
        <v>502</v>
      </c>
      <c r="C270" s="47">
        <v>25.2</v>
      </c>
      <c r="D270" s="51" t="s">
        <v>196</v>
      </c>
      <c r="F270" s="40">
        <v>9</v>
      </c>
      <c r="G270" s="38" t="s">
        <v>93</v>
      </c>
      <c r="H270" s="26" t="s">
        <v>503</v>
      </c>
      <c r="I270" s="40">
        <f>(C73)</f>
        <v>2923.8</v>
      </c>
      <c r="J270" s="26" t="s">
        <v>93</v>
      </c>
      <c r="K270" s="40">
        <f t="shared" ref="K270:K275" si="24">(F270*I270)</f>
        <v>26314.2</v>
      </c>
      <c r="R270" s="35" t="s">
        <v>48</v>
      </c>
      <c r="AG270" s="48"/>
      <c r="AI270" s="26"/>
    </row>
    <row r="271" spans="1:35" ht="24" customHeight="1">
      <c r="A271" s="50">
        <f t="shared" si="23"/>
        <v>111</v>
      </c>
      <c r="B271" s="51" t="s">
        <v>504</v>
      </c>
      <c r="C271" s="49">
        <v>48.95</v>
      </c>
      <c r="D271" s="51" t="s">
        <v>392</v>
      </c>
      <c r="E271" s="105">
        <v>155</v>
      </c>
      <c r="F271" s="76">
        <v>3.2309999999999999</v>
      </c>
      <c r="G271" s="38" t="s">
        <v>84</v>
      </c>
      <c r="H271" s="26" t="s">
        <v>85</v>
      </c>
      <c r="I271" s="40">
        <f>(C67)</f>
        <v>5800</v>
      </c>
      <c r="J271" s="26" t="s">
        <v>84</v>
      </c>
      <c r="K271" s="40">
        <f t="shared" si="24"/>
        <v>18739.8</v>
      </c>
      <c r="O271" s="26" t="s">
        <v>401</v>
      </c>
      <c r="R271" s="40">
        <f>SUM(R267:R269)</f>
        <v>9317.3848263999989</v>
      </c>
      <c r="AG271" s="48"/>
      <c r="AI271" s="26"/>
    </row>
    <row r="272" spans="1:35" ht="24" customHeight="1">
      <c r="A272" s="50">
        <f t="shared" si="23"/>
        <v>112</v>
      </c>
      <c r="B272" s="51" t="s">
        <v>505</v>
      </c>
      <c r="C272" s="49">
        <v>300.89999999999998</v>
      </c>
      <c r="D272" s="73">
        <v>452.09</v>
      </c>
      <c r="E272" s="112">
        <v>250</v>
      </c>
      <c r="F272" s="40">
        <v>4.5</v>
      </c>
      <c r="G272" s="38" t="s">
        <v>93</v>
      </c>
      <c r="H272" s="26" t="s">
        <v>94</v>
      </c>
      <c r="I272" s="40">
        <f>(C78)</f>
        <v>2765.84</v>
      </c>
      <c r="J272" s="26" t="s">
        <v>93</v>
      </c>
      <c r="K272" s="40">
        <f t="shared" si="24"/>
        <v>12446.28</v>
      </c>
      <c r="R272" s="35" t="s">
        <v>48</v>
      </c>
      <c r="AG272" s="48"/>
      <c r="AI272" s="26"/>
    </row>
    <row r="273" spans="1:35" ht="24" customHeight="1">
      <c r="A273" s="50">
        <f t="shared" si="23"/>
        <v>113</v>
      </c>
      <c r="B273" s="51" t="s">
        <v>506</v>
      </c>
      <c r="C273" s="49">
        <v>141.30000000000001</v>
      </c>
      <c r="D273" s="51" t="s">
        <v>244</v>
      </c>
      <c r="F273" s="40">
        <v>3.5</v>
      </c>
      <c r="G273" s="38" t="s">
        <v>105</v>
      </c>
      <c r="H273" s="26" t="s">
        <v>269</v>
      </c>
      <c r="I273" s="40">
        <f>(C11)</f>
        <v>1005.1999999999999</v>
      </c>
      <c r="J273" s="26" t="s">
        <v>105</v>
      </c>
      <c r="K273" s="40">
        <f t="shared" si="24"/>
        <v>3518.2</v>
      </c>
      <c r="O273" s="26" t="s">
        <v>403</v>
      </c>
      <c r="R273" s="40">
        <f>(R271/10)</f>
        <v>931.73848263999992</v>
      </c>
      <c r="AG273" s="48"/>
      <c r="AI273" s="26"/>
    </row>
    <row r="274" spans="1:35" ht="24" customHeight="1">
      <c r="A274" s="50">
        <f t="shared" si="23"/>
        <v>114</v>
      </c>
      <c r="B274" s="51" t="s">
        <v>507</v>
      </c>
      <c r="C274" s="49">
        <v>51.3</v>
      </c>
      <c r="D274" s="51" t="s">
        <v>196</v>
      </c>
      <c r="F274" s="40">
        <v>21.2</v>
      </c>
      <c r="G274" s="38" t="s">
        <v>105</v>
      </c>
      <c r="H274" s="26" t="s">
        <v>271</v>
      </c>
      <c r="I274" s="40">
        <f>(C12)</f>
        <v>702.8</v>
      </c>
      <c r="J274" s="26" t="s">
        <v>105</v>
      </c>
      <c r="K274" s="40">
        <f t="shared" si="24"/>
        <v>14899.359999999999</v>
      </c>
      <c r="R274" s="35" t="s">
        <v>41</v>
      </c>
      <c r="Z274" s="32">
        <v>1.51</v>
      </c>
      <c r="AA274" s="32">
        <v>1.08</v>
      </c>
      <c r="AB274" s="32"/>
      <c r="AD274" s="28">
        <v>55.07</v>
      </c>
      <c r="AE274" s="28">
        <f>Z274*AD274</f>
        <v>83.155699999999996</v>
      </c>
      <c r="AF274" s="28">
        <f>AA274*AD274</f>
        <v>59.475600000000007</v>
      </c>
      <c r="AG274" s="48"/>
      <c r="AI274" s="26"/>
    </row>
    <row r="275" spans="1:35" ht="24" customHeight="1">
      <c r="A275" s="50">
        <f t="shared" si="23"/>
        <v>115</v>
      </c>
      <c r="B275" s="51" t="s">
        <v>508</v>
      </c>
      <c r="C275" s="49">
        <v>44.8</v>
      </c>
      <c r="D275" s="51" t="s">
        <v>196</v>
      </c>
      <c r="F275" s="40">
        <v>35.299999999999997</v>
      </c>
      <c r="G275" s="38" t="s">
        <v>105</v>
      </c>
      <c r="H275" s="26" t="s">
        <v>276</v>
      </c>
      <c r="I275" s="40">
        <f>(C13)</f>
        <v>576.79999999999995</v>
      </c>
      <c r="J275" s="26" t="s">
        <v>105</v>
      </c>
      <c r="K275" s="40">
        <f t="shared" si="24"/>
        <v>20361.039999999997</v>
      </c>
      <c r="N275" s="26" t="s">
        <v>509</v>
      </c>
      <c r="O275" s="26" t="s">
        <v>309</v>
      </c>
      <c r="R275" s="40">
        <f>(R273+C19/10*M267)</f>
        <v>941.18680263999988</v>
      </c>
      <c r="Z275" s="32">
        <v>0.216</v>
      </c>
      <c r="AA275" s="32">
        <v>0.216</v>
      </c>
      <c r="AB275" s="32"/>
      <c r="AD275" s="28">
        <v>993.48</v>
      </c>
      <c r="AE275" s="28">
        <f>Z275*AD275</f>
        <v>214.59168</v>
      </c>
      <c r="AF275" s="28">
        <f>AA275*AD275</f>
        <v>214.59168</v>
      </c>
      <c r="AG275" s="48"/>
      <c r="AI275" s="26"/>
    </row>
    <row r="276" spans="1:35" ht="24" customHeight="1">
      <c r="A276" s="50">
        <f t="shared" si="23"/>
        <v>116</v>
      </c>
      <c r="B276" s="51" t="s">
        <v>510</v>
      </c>
      <c r="C276" s="63">
        <v>16.440000000000001</v>
      </c>
      <c r="D276" s="51" t="s">
        <v>196</v>
      </c>
      <c r="G276" s="38" t="s">
        <v>106</v>
      </c>
      <c r="H276" s="26" t="s">
        <v>107</v>
      </c>
      <c r="I276" s="26" t="s">
        <v>27</v>
      </c>
      <c r="J276" s="26" t="s">
        <v>106</v>
      </c>
      <c r="K276" s="40">
        <v>0</v>
      </c>
      <c r="N276" s="26" t="s">
        <v>511</v>
      </c>
      <c r="O276" s="26" t="s">
        <v>313</v>
      </c>
      <c r="R276" s="40">
        <f>(R275+C20/10*M267)</f>
        <v>960.22708263999994</v>
      </c>
      <c r="Z276" s="32">
        <v>0.71599999999999997</v>
      </c>
      <c r="AA276" s="32">
        <v>0.48699999999999999</v>
      </c>
      <c r="AB276" s="32"/>
      <c r="AD276" s="28">
        <v>1762.91</v>
      </c>
      <c r="AE276" s="28">
        <f>Z276*AD276</f>
        <v>1262.2435600000001</v>
      </c>
      <c r="AF276" s="28">
        <f>AA276*AD276</f>
        <v>858.53717000000006</v>
      </c>
      <c r="AG276" s="48"/>
      <c r="AI276" s="26"/>
    </row>
    <row r="277" spans="1:35" ht="24" customHeight="1">
      <c r="A277" s="50">
        <f t="shared" si="23"/>
        <v>117</v>
      </c>
      <c r="B277" s="51" t="s">
        <v>512</v>
      </c>
      <c r="C277" s="49">
        <v>31.5</v>
      </c>
      <c r="D277" s="52">
        <v>6.25</v>
      </c>
      <c r="K277" s="35" t="s">
        <v>48</v>
      </c>
      <c r="N277" s="26" t="s">
        <v>513</v>
      </c>
      <c r="O277" s="26" t="s">
        <v>316</v>
      </c>
      <c r="R277" s="40">
        <f>(R276+C21/10*M267)</f>
        <v>979.26736263999987</v>
      </c>
      <c r="Z277" s="32">
        <v>7.35</v>
      </c>
      <c r="AA277" s="32">
        <v>5.36</v>
      </c>
      <c r="AB277" s="32"/>
      <c r="AD277" s="28">
        <v>69.709999999999994</v>
      </c>
      <c r="AE277" s="28">
        <f>Z277*AD277</f>
        <v>512.36849999999993</v>
      </c>
      <c r="AF277" s="28">
        <f>AA277*AD277</f>
        <v>373.6456</v>
      </c>
      <c r="AG277" s="48"/>
      <c r="AI277" s="26"/>
    </row>
    <row r="278" spans="1:35" ht="24" customHeight="1">
      <c r="A278" s="50">
        <f t="shared" si="23"/>
        <v>118</v>
      </c>
      <c r="B278" s="51" t="s">
        <v>514</v>
      </c>
      <c r="C278" s="49">
        <v>357.5</v>
      </c>
      <c r="D278" s="51" t="s">
        <v>438</v>
      </c>
      <c r="H278" s="26" t="s">
        <v>515</v>
      </c>
      <c r="K278" s="40">
        <f>SUM(K270:K276)</f>
        <v>96278.87999999999</v>
      </c>
      <c r="N278" s="26" t="s">
        <v>516</v>
      </c>
      <c r="O278" s="26" t="s">
        <v>318</v>
      </c>
      <c r="R278" s="40">
        <f>(R277+C21/10*M267)</f>
        <v>998.30764263999981</v>
      </c>
      <c r="Z278" s="32">
        <v>3.2000000000000001E-2</v>
      </c>
      <c r="AA278" s="32">
        <v>3.2000000000000001E-2</v>
      </c>
      <c r="AB278" s="32"/>
      <c r="AD278" s="28">
        <v>2824.15</v>
      </c>
      <c r="AE278" s="28">
        <f>Z278*AD278</f>
        <v>90.372799999999998</v>
      </c>
      <c r="AF278" s="28">
        <f>AA278*AD278</f>
        <v>90.372799999999998</v>
      </c>
      <c r="AG278" s="48"/>
      <c r="AI278" s="26"/>
    </row>
    <row r="279" spans="1:35" ht="24" customHeight="1">
      <c r="A279" s="50">
        <f t="shared" si="23"/>
        <v>119</v>
      </c>
      <c r="B279" s="51" t="s">
        <v>517</v>
      </c>
      <c r="C279" s="49">
        <v>79.099999999999994</v>
      </c>
      <c r="D279" s="51" t="s">
        <v>196</v>
      </c>
      <c r="K279" s="35" t="s">
        <v>48</v>
      </c>
      <c r="AA279" s="32"/>
      <c r="AB279" s="32"/>
      <c r="AF279" s="28">
        <v>13.38</v>
      </c>
      <c r="AG279" s="48"/>
      <c r="AI279" s="26"/>
    </row>
    <row r="280" spans="1:35" ht="24" customHeight="1">
      <c r="A280" s="50">
        <f t="shared" si="23"/>
        <v>120</v>
      </c>
      <c r="B280" s="51" t="s">
        <v>518</v>
      </c>
      <c r="C280" s="49">
        <v>63.5</v>
      </c>
      <c r="D280" s="51" t="s">
        <v>196</v>
      </c>
      <c r="H280" s="42" t="s">
        <v>201</v>
      </c>
      <c r="K280" s="39">
        <f>(K278/10)</f>
        <v>9627.887999999999</v>
      </c>
      <c r="R280" s="26" t="s">
        <v>27</v>
      </c>
      <c r="AE280" s="28">
        <f>SUM(AE274:AE279)</f>
        <v>2162.7322400000003</v>
      </c>
      <c r="AF280" s="28">
        <f>SUM(AF274:AF279)</f>
        <v>1610.0028500000003</v>
      </c>
      <c r="AG280" s="48"/>
      <c r="AI280" s="26"/>
    </row>
    <row r="281" spans="1:35" ht="24" customHeight="1">
      <c r="A281" s="66"/>
      <c r="B281" s="66"/>
      <c r="C281" s="105"/>
      <c r="D281" s="66"/>
      <c r="F281" s="26" t="s">
        <v>27</v>
      </c>
      <c r="N281" s="26" t="s">
        <v>386</v>
      </c>
      <c r="O281" s="26" t="s">
        <v>519</v>
      </c>
      <c r="AG281" s="48"/>
    </row>
    <row r="282" spans="1:35" ht="24" customHeight="1">
      <c r="A282" s="50">
        <f>(A280+1)</f>
        <v>121</v>
      </c>
      <c r="B282" s="51" t="s">
        <v>520</v>
      </c>
      <c r="C282" s="49">
        <v>43.6</v>
      </c>
      <c r="D282" s="51" t="s">
        <v>196</v>
      </c>
      <c r="O282" s="26" t="s">
        <v>521</v>
      </c>
      <c r="AG282" s="48"/>
      <c r="AI282" s="26"/>
    </row>
    <row r="283" spans="1:35" ht="24" customHeight="1">
      <c r="A283" s="50">
        <f t="shared" ref="A283:A346" si="25">(A282+1)</f>
        <v>122</v>
      </c>
      <c r="B283" s="51" t="s">
        <v>522</v>
      </c>
      <c r="C283" s="49">
        <v>35.15</v>
      </c>
      <c r="D283" s="51" t="s">
        <v>196</v>
      </c>
      <c r="F283" s="40">
        <v>1</v>
      </c>
      <c r="G283" s="38" t="s">
        <v>93</v>
      </c>
      <c r="H283" s="26" t="s">
        <v>523</v>
      </c>
      <c r="K283" s="40">
        <f>(C25)</f>
        <v>98.98</v>
      </c>
      <c r="O283" s="35" t="s">
        <v>48</v>
      </c>
      <c r="AG283" s="48"/>
      <c r="AI283" s="26"/>
    </row>
    <row r="284" spans="1:35" ht="24" customHeight="1">
      <c r="A284" s="50">
        <f t="shared" si="25"/>
        <v>123</v>
      </c>
      <c r="B284" s="51" t="s">
        <v>524</v>
      </c>
      <c r="C284" s="49">
        <v>57.2</v>
      </c>
      <c r="D284" s="51" t="s">
        <v>196</v>
      </c>
      <c r="K284" s="35" t="s">
        <v>48</v>
      </c>
      <c r="M284" s="40">
        <v>10</v>
      </c>
      <c r="N284" s="26" t="s">
        <v>438</v>
      </c>
      <c r="O284" s="26" t="s">
        <v>525</v>
      </c>
      <c r="P284" s="40">
        <f>(K1241)</f>
        <v>1318.2824399999997</v>
      </c>
      <c r="Q284" s="26" t="s">
        <v>438</v>
      </c>
      <c r="R284" s="40">
        <f>(M284*P284)</f>
        <v>13182.824399999998</v>
      </c>
      <c r="AG284" s="48"/>
      <c r="AI284" s="26"/>
    </row>
    <row r="285" spans="1:35" ht="24" customHeight="1">
      <c r="A285" s="50">
        <f t="shared" si="25"/>
        <v>124</v>
      </c>
      <c r="B285" s="51" t="s">
        <v>526</v>
      </c>
      <c r="C285" s="49">
        <v>35.1</v>
      </c>
      <c r="D285" s="51" t="s">
        <v>196</v>
      </c>
      <c r="E285" s="105">
        <v>50.3</v>
      </c>
      <c r="H285" s="26" t="s">
        <v>527</v>
      </c>
      <c r="K285" s="39">
        <f>SUM(K280:K283)</f>
        <v>9726.8679999999986</v>
      </c>
      <c r="M285" s="40">
        <v>1.1000000000000001</v>
      </c>
      <c r="N285" s="26" t="s">
        <v>105</v>
      </c>
      <c r="O285" s="26" t="s">
        <v>269</v>
      </c>
      <c r="P285" s="40">
        <f>(C11)</f>
        <v>1005.1999999999999</v>
      </c>
      <c r="Q285" s="26" t="s">
        <v>105</v>
      </c>
      <c r="R285" s="40">
        <f>(M285*P285)</f>
        <v>1105.72</v>
      </c>
      <c r="AG285" s="48"/>
      <c r="AI285" s="26"/>
    </row>
    <row r="286" spans="1:35" ht="24" customHeight="1">
      <c r="A286" s="50">
        <f t="shared" si="25"/>
        <v>125</v>
      </c>
      <c r="B286" s="51" t="s">
        <v>528</v>
      </c>
      <c r="C286" s="49">
        <v>159.69999999999999</v>
      </c>
      <c r="D286" s="51" t="s">
        <v>196</v>
      </c>
      <c r="K286" s="35" t="s">
        <v>48</v>
      </c>
      <c r="M286" s="40">
        <v>1.1000000000000001</v>
      </c>
      <c r="N286" s="26" t="s">
        <v>105</v>
      </c>
      <c r="O286" s="26" t="s">
        <v>271</v>
      </c>
      <c r="P286" s="40">
        <f>(C12)</f>
        <v>702.8</v>
      </c>
      <c r="Q286" s="26" t="s">
        <v>105</v>
      </c>
      <c r="R286" s="40">
        <f>(M286*P286)</f>
        <v>773.08</v>
      </c>
      <c r="AG286" s="48"/>
      <c r="AI286" s="26"/>
    </row>
    <row r="287" spans="1:35" ht="24" customHeight="1">
      <c r="A287" s="50">
        <f t="shared" si="25"/>
        <v>126</v>
      </c>
      <c r="B287" s="51" t="s">
        <v>529</v>
      </c>
      <c r="C287" s="49">
        <v>89.7</v>
      </c>
      <c r="D287" s="51" t="s">
        <v>196</v>
      </c>
      <c r="H287" s="26" t="s">
        <v>309</v>
      </c>
      <c r="K287" s="39">
        <f>(K285+C22)</f>
        <v>9852.7279999999992</v>
      </c>
      <c r="L287" s="28">
        <v>54</v>
      </c>
      <c r="M287" s="40">
        <v>1.1000000000000001</v>
      </c>
      <c r="N287" s="26" t="s">
        <v>105</v>
      </c>
      <c r="O287" s="26" t="s">
        <v>49</v>
      </c>
      <c r="P287" s="40">
        <f>(C13)</f>
        <v>576.79999999999995</v>
      </c>
      <c r="Q287" s="26" t="s">
        <v>105</v>
      </c>
      <c r="R287" s="40">
        <f>(M287*P287)</f>
        <v>634.48</v>
      </c>
      <c r="AG287" s="48"/>
      <c r="AI287" s="26"/>
    </row>
    <row r="288" spans="1:35" ht="24" customHeight="1">
      <c r="A288" s="50">
        <f t="shared" si="25"/>
        <v>127</v>
      </c>
      <c r="B288" s="51" t="s">
        <v>530</v>
      </c>
      <c r="C288" s="73">
        <v>7.3</v>
      </c>
      <c r="D288" s="51" t="s">
        <v>196</v>
      </c>
      <c r="H288" s="26" t="s">
        <v>313</v>
      </c>
      <c r="K288" s="39">
        <f>(K287+C23)</f>
        <v>10100.527999999998</v>
      </c>
      <c r="L288" s="28">
        <v>107</v>
      </c>
      <c r="R288" s="35" t="s">
        <v>48</v>
      </c>
      <c r="AG288" s="48"/>
      <c r="AI288" s="26"/>
    </row>
    <row r="289" spans="1:35" ht="24" customHeight="1">
      <c r="A289" s="50">
        <f t="shared" si="25"/>
        <v>128</v>
      </c>
      <c r="B289" s="51" t="s">
        <v>531</v>
      </c>
      <c r="C289" s="73">
        <v>7.3</v>
      </c>
      <c r="D289" s="51" t="s">
        <v>196</v>
      </c>
      <c r="H289" s="26" t="s">
        <v>316</v>
      </c>
      <c r="K289" s="39">
        <f>(K288+C24)</f>
        <v>10348.327999999998</v>
      </c>
      <c r="O289" s="26" t="s">
        <v>401</v>
      </c>
      <c r="R289" s="40">
        <f>SUM(R284:R287)</f>
        <v>15696.104399999997</v>
      </c>
      <c r="AG289" s="48"/>
      <c r="AI289" s="26"/>
    </row>
    <row r="290" spans="1:35" ht="24" customHeight="1">
      <c r="A290" s="50">
        <f t="shared" si="25"/>
        <v>129</v>
      </c>
      <c r="B290" s="51" t="s">
        <v>532</v>
      </c>
      <c r="C290" s="63">
        <v>2.9</v>
      </c>
      <c r="D290" s="51" t="s">
        <v>533</v>
      </c>
      <c r="H290" s="26" t="s">
        <v>318</v>
      </c>
      <c r="K290" s="39">
        <f>(K289+C24)</f>
        <v>10596.127999999997</v>
      </c>
      <c r="R290" s="35" t="s">
        <v>48</v>
      </c>
      <c r="AG290" s="48"/>
      <c r="AI290" s="26"/>
    </row>
    <row r="291" spans="1:35" ht="24" customHeight="1">
      <c r="A291" s="50">
        <f t="shared" si="25"/>
        <v>130</v>
      </c>
      <c r="B291" s="51" t="s">
        <v>534</v>
      </c>
      <c r="C291" s="73">
        <v>11.8</v>
      </c>
      <c r="D291" s="51" t="s">
        <v>533</v>
      </c>
      <c r="H291" s="26" t="s">
        <v>323</v>
      </c>
      <c r="K291" s="39">
        <f>(K290+C24)</f>
        <v>10843.927999999996</v>
      </c>
      <c r="O291" s="26" t="s">
        <v>403</v>
      </c>
      <c r="R291" s="40">
        <f>(R289/10)</f>
        <v>1569.6104399999997</v>
      </c>
      <c r="AG291" s="48"/>
      <c r="AI291" s="26"/>
    </row>
    <row r="292" spans="1:35" ht="24" customHeight="1">
      <c r="A292" s="50">
        <f t="shared" si="25"/>
        <v>131</v>
      </c>
      <c r="B292" s="51" t="s">
        <v>535</v>
      </c>
      <c r="C292" s="73">
        <v>8.9</v>
      </c>
      <c r="D292" s="51" t="s">
        <v>196</v>
      </c>
      <c r="R292" s="35" t="s">
        <v>41</v>
      </c>
      <c r="AG292" s="48"/>
      <c r="AI292" s="26"/>
    </row>
    <row r="293" spans="1:35" ht="24" customHeight="1">
      <c r="A293" s="50">
        <f t="shared" si="25"/>
        <v>132</v>
      </c>
      <c r="B293" s="51" t="s">
        <v>536</v>
      </c>
      <c r="C293" s="73">
        <v>6.1</v>
      </c>
      <c r="D293" s="51" t="s">
        <v>196</v>
      </c>
      <c r="F293" s="27" t="s">
        <v>112</v>
      </c>
      <c r="G293" s="38" t="s">
        <v>67</v>
      </c>
      <c r="H293" s="26" t="s">
        <v>537</v>
      </c>
      <c r="AG293" s="48"/>
      <c r="AI293" s="26"/>
    </row>
    <row r="294" spans="1:35" ht="24" customHeight="1">
      <c r="A294" s="50">
        <f t="shared" si="25"/>
        <v>133</v>
      </c>
      <c r="B294" s="51" t="s">
        <v>538</v>
      </c>
      <c r="C294" s="63">
        <v>5.75</v>
      </c>
      <c r="D294" s="51" t="s">
        <v>196</v>
      </c>
      <c r="H294" s="35" t="s">
        <v>41</v>
      </c>
      <c r="N294" s="26" t="s">
        <v>67</v>
      </c>
      <c r="O294" s="26" t="s">
        <v>539</v>
      </c>
      <c r="AG294" s="48"/>
      <c r="AI294" s="26"/>
    </row>
    <row r="295" spans="1:35" ht="24" customHeight="1">
      <c r="A295" s="50">
        <f t="shared" si="25"/>
        <v>134</v>
      </c>
      <c r="B295" s="51" t="s">
        <v>540</v>
      </c>
      <c r="C295" s="63">
        <v>8.5</v>
      </c>
      <c r="D295" s="51" t="s">
        <v>196</v>
      </c>
      <c r="F295" s="40">
        <v>10</v>
      </c>
      <c r="G295" s="38" t="s">
        <v>93</v>
      </c>
      <c r="H295" s="26" t="s">
        <v>541</v>
      </c>
      <c r="I295" s="40">
        <f>(C68)</f>
        <v>1962.8</v>
      </c>
      <c r="J295" s="26" t="s">
        <v>93</v>
      </c>
      <c r="K295" s="40">
        <f t="shared" ref="K295:K301" si="26">(F295*I295)</f>
        <v>19628</v>
      </c>
      <c r="O295" s="35" t="s">
        <v>48</v>
      </c>
      <c r="AG295" s="48"/>
      <c r="AI295" s="26"/>
    </row>
    <row r="296" spans="1:35" ht="24" customHeight="1">
      <c r="A296" s="50">
        <f t="shared" si="25"/>
        <v>135</v>
      </c>
      <c r="B296" s="51" t="s">
        <v>542</v>
      </c>
      <c r="C296" s="63">
        <v>10</v>
      </c>
      <c r="D296" s="51" t="s">
        <v>196</v>
      </c>
      <c r="F296" s="40">
        <v>1</v>
      </c>
      <c r="G296" s="38" t="s">
        <v>93</v>
      </c>
      <c r="H296" s="26" t="s">
        <v>301</v>
      </c>
      <c r="I296" s="40">
        <f>(C69)</f>
        <v>2155.8000000000002</v>
      </c>
      <c r="J296" s="26" t="s">
        <v>93</v>
      </c>
      <c r="K296" s="40">
        <f t="shared" si="26"/>
        <v>2155.8000000000002</v>
      </c>
      <c r="M296" s="40">
        <v>0.14000000000000001</v>
      </c>
      <c r="N296" s="26" t="s">
        <v>93</v>
      </c>
      <c r="O296" s="26" t="s">
        <v>176</v>
      </c>
      <c r="P296" s="40">
        <f>(K32)</f>
        <v>5671.64</v>
      </c>
      <c r="Q296" s="26" t="s">
        <v>93</v>
      </c>
      <c r="R296" s="40">
        <f>(M296*P296)</f>
        <v>794.02960000000007</v>
      </c>
      <c r="AG296" s="48"/>
      <c r="AI296" s="26"/>
    </row>
    <row r="297" spans="1:35" ht="24" customHeight="1">
      <c r="A297" s="50">
        <f t="shared" si="25"/>
        <v>136</v>
      </c>
      <c r="B297" s="51" t="s">
        <v>543</v>
      </c>
      <c r="C297" s="73">
        <v>7</v>
      </c>
      <c r="D297" s="51" t="s">
        <v>196</v>
      </c>
      <c r="F297" s="40">
        <v>3.4</v>
      </c>
      <c r="G297" s="38" t="s">
        <v>93</v>
      </c>
      <c r="H297" s="26" t="s">
        <v>245</v>
      </c>
      <c r="I297" s="40">
        <f>(K49)</f>
        <v>4558.04</v>
      </c>
      <c r="J297" s="26" t="s">
        <v>93</v>
      </c>
      <c r="K297" s="40">
        <f t="shared" si="26"/>
        <v>15497.335999999999</v>
      </c>
      <c r="M297" s="40">
        <v>1.1000000000000001</v>
      </c>
      <c r="N297" s="26" t="s">
        <v>105</v>
      </c>
      <c r="O297" s="26" t="s">
        <v>298</v>
      </c>
      <c r="P297" s="40">
        <f>(C10)</f>
        <v>1076.5999999999999</v>
      </c>
      <c r="Q297" s="26" t="s">
        <v>105</v>
      </c>
      <c r="R297" s="40">
        <f>(M297*P297)</f>
        <v>1184.26</v>
      </c>
      <c r="AG297" s="48"/>
      <c r="AI297" s="26"/>
    </row>
    <row r="298" spans="1:35" ht="24" customHeight="1">
      <c r="A298" s="50">
        <f t="shared" si="25"/>
        <v>137</v>
      </c>
      <c r="B298" s="51" t="s">
        <v>544</v>
      </c>
      <c r="C298" s="63">
        <v>2.2000000000000002</v>
      </c>
      <c r="D298" s="51" t="s">
        <v>196</v>
      </c>
      <c r="F298" s="40">
        <v>7.1</v>
      </c>
      <c r="G298" s="38" t="s">
        <v>105</v>
      </c>
      <c r="H298" s="26" t="s">
        <v>298</v>
      </c>
      <c r="I298" s="40">
        <f>(C10)</f>
        <v>1076.5999999999999</v>
      </c>
      <c r="J298" s="26" t="s">
        <v>105</v>
      </c>
      <c r="K298" s="40">
        <f t="shared" si="26"/>
        <v>7643.8599999999988</v>
      </c>
      <c r="M298" s="40">
        <v>0.5</v>
      </c>
      <c r="N298" s="26" t="s">
        <v>105</v>
      </c>
      <c r="O298" s="26" t="s">
        <v>271</v>
      </c>
      <c r="P298" s="40">
        <f>(C12)</f>
        <v>702.8</v>
      </c>
      <c r="Q298" s="26" t="s">
        <v>105</v>
      </c>
      <c r="R298" s="40">
        <f>(M298*P298)</f>
        <v>351.4</v>
      </c>
      <c r="AG298" s="48"/>
      <c r="AI298" s="26"/>
    </row>
    <row r="299" spans="1:35" ht="24" customHeight="1">
      <c r="A299" s="50">
        <f t="shared" si="25"/>
        <v>138</v>
      </c>
      <c r="B299" s="51" t="s">
        <v>545</v>
      </c>
      <c r="C299" s="63">
        <v>10.5</v>
      </c>
      <c r="D299" s="51" t="s">
        <v>196</v>
      </c>
      <c r="F299" s="40">
        <v>10.6</v>
      </c>
      <c r="G299" s="38" t="s">
        <v>105</v>
      </c>
      <c r="H299" s="26" t="s">
        <v>269</v>
      </c>
      <c r="I299" s="40">
        <f>(C11)</f>
        <v>1005.1999999999999</v>
      </c>
      <c r="J299" s="26" t="s">
        <v>105</v>
      </c>
      <c r="K299" s="40">
        <f t="shared" si="26"/>
        <v>10655.119999999999</v>
      </c>
      <c r="M299" s="40">
        <v>1.1000000000000001</v>
      </c>
      <c r="N299" s="26" t="s">
        <v>105</v>
      </c>
      <c r="O299" s="26" t="s">
        <v>276</v>
      </c>
      <c r="P299" s="40">
        <f>(C13)</f>
        <v>576.79999999999995</v>
      </c>
      <c r="Q299" s="26" t="s">
        <v>105</v>
      </c>
      <c r="R299" s="40">
        <f>(M299*P299)</f>
        <v>634.48</v>
      </c>
      <c r="AG299" s="48"/>
      <c r="AI299" s="26"/>
    </row>
    <row r="300" spans="1:35" ht="24" customHeight="1">
      <c r="A300" s="50">
        <f t="shared" si="25"/>
        <v>139</v>
      </c>
      <c r="B300" s="51" t="s">
        <v>546</v>
      </c>
      <c r="C300" s="63">
        <v>5.5</v>
      </c>
      <c r="D300" s="51" t="s">
        <v>196</v>
      </c>
      <c r="F300" s="40">
        <v>14.1</v>
      </c>
      <c r="G300" s="38" t="s">
        <v>105</v>
      </c>
      <c r="H300" s="26" t="s">
        <v>271</v>
      </c>
      <c r="I300" s="40">
        <f>(C12)</f>
        <v>702.8</v>
      </c>
      <c r="J300" s="26" t="s">
        <v>105</v>
      </c>
      <c r="K300" s="40">
        <f t="shared" si="26"/>
        <v>9909.48</v>
      </c>
      <c r="N300" s="26" t="s">
        <v>106</v>
      </c>
      <c r="O300" s="26" t="s">
        <v>107</v>
      </c>
      <c r="P300" s="26" t="s">
        <v>27</v>
      </c>
      <c r="Q300" s="26" t="s">
        <v>106</v>
      </c>
      <c r="R300" s="40">
        <v>5</v>
      </c>
      <c r="AG300" s="48"/>
      <c r="AI300" s="26"/>
    </row>
    <row r="301" spans="1:35" ht="24" customHeight="1">
      <c r="A301" s="50">
        <f t="shared" si="25"/>
        <v>140</v>
      </c>
      <c r="B301" s="51" t="s">
        <v>547</v>
      </c>
      <c r="C301" s="63">
        <v>21</v>
      </c>
      <c r="D301" s="51" t="s">
        <v>196</v>
      </c>
      <c r="F301" s="40">
        <v>14.1</v>
      </c>
      <c r="G301" s="38" t="s">
        <v>105</v>
      </c>
      <c r="H301" s="26" t="s">
        <v>276</v>
      </c>
      <c r="I301" s="40">
        <f>(C13)</f>
        <v>576.79999999999995</v>
      </c>
      <c r="J301" s="26" t="s">
        <v>105</v>
      </c>
      <c r="K301" s="40">
        <f t="shared" si="26"/>
        <v>8132.8799999999992</v>
      </c>
      <c r="R301" s="35" t="s">
        <v>48</v>
      </c>
      <c r="AG301" s="48"/>
      <c r="AI301" s="26"/>
    </row>
    <row r="302" spans="1:35" ht="24" customHeight="1">
      <c r="A302" s="50">
        <f t="shared" si="25"/>
        <v>141</v>
      </c>
      <c r="B302" s="51" t="s">
        <v>548</v>
      </c>
      <c r="C302" s="63">
        <v>10</v>
      </c>
      <c r="D302" s="51" t="s">
        <v>196</v>
      </c>
      <c r="G302" s="38" t="s">
        <v>106</v>
      </c>
      <c r="H302" s="26" t="s">
        <v>107</v>
      </c>
      <c r="J302" s="26" t="s">
        <v>106</v>
      </c>
      <c r="K302" s="40">
        <v>0</v>
      </c>
      <c r="O302" s="26" t="s">
        <v>27</v>
      </c>
      <c r="R302" s="40">
        <f>SUM(R296:R300)</f>
        <v>2969.1696000000002</v>
      </c>
      <c r="AG302" s="48"/>
      <c r="AI302" s="26"/>
    </row>
    <row r="303" spans="1:35" ht="24" customHeight="1">
      <c r="A303" s="50">
        <f t="shared" si="25"/>
        <v>142</v>
      </c>
      <c r="B303" s="51" t="s">
        <v>549</v>
      </c>
      <c r="C303" s="63">
        <v>4</v>
      </c>
      <c r="D303" s="51" t="s">
        <v>196</v>
      </c>
      <c r="K303" s="35" t="s">
        <v>48</v>
      </c>
      <c r="R303" s="35" t="s">
        <v>48</v>
      </c>
      <c r="AG303" s="48"/>
      <c r="AI303" s="26"/>
    </row>
    <row r="304" spans="1:35" ht="24" customHeight="1">
      <c r="A304" s="50">
        <f t="shared" si="25"/>
        <v>143</v>
      </c>
      <c r="B304" s="51" t="s">
        <v>531</v>
      </c>
      <c r="C304" s="63">
        <v>8</v>
      </c>
      <c r="D304" s="51" t="s">
        <v>105</v>
      </c>
      <c r="H304" s="26" t="s">
        <v>280</v>
      </c>
      <c r="K304" s="40">
        <f>SUM(K295:K302)</f>
        <v>73622.475999999995</v>
      </c>
      <c r="O304" s="26" t="s">
        <v>403</v>
      </c>
      <c r="R304" s="40">
        <f>(R302/10)</f>
        <v>296.91696000000002</v>
      </c>
      <c r="AG304" s="48"/>
      <c r="AI304" s="26"/>
    </row>
    <row r="305" spans="1:35" ht="24" customHeight="1">
      <c r="A305" s="50">
        <f t="shared" si="25"/>
        <v>144</v>
      </c>
      <c r="B305" s="51" t="s">
        <v>532</v>
      </c>
      <c r="C305" s="63">
        <v>8.5</v>
      </c>
      <c r="D305" s="51" t="s">
        <v>196</v>
      </c>
      <c r="K305" s="35" t="s">
        <v>48</v>
      </c>
      <c r="N305" s="26" t="s">
        <v>67</v>
      </c>
      <c r="O305" s="26" t="s">
        <v>550</v>
      </c>
      <c r="R305" s="35" t="s">
        <v>41</v>
      </c>
      <c r="AG305" s="48"/>
      <c r="AI305" s="26"/>
    </row>
    <row r="306" spans="1:35" ht="24" customHeight="1">
      <c r="A306" s="50">
        <f t="shared" si="25"/>
        <v>145</v>
      </c>
      <c r="B306" s="51" t="s">
        <v>551</v>
      </c>
      <c r="C306" s="63">
        <v>2.8</v>
      </c>
      <c r="D306" s="51" t="s">
        <v>196</v>
      </c>
      <c r="H306" s="42" t="s">
        <v>201</v>
      </c>
      <c r="K306" s="39">
        <f>(K304/10)</f>
        <v>7362.2475999999997</v>
      </c>
      <c r="O306" s="35" t="s">
        <v>48</v>
      </c>
      <c r="AG306" s="48"/>
      <c r="AI306" s="26"/>
    </row>
    <row r="307" spans="1:35" ht="24" customHeight="1">
      <c r="A307" s="50">
        <f t="shared" si="25"/>
        <v>146</v>
      </c>
      <c r="B307" s="51" t="s">
        <v>552</v>
      </c>
      <c r="C307" s="63">
        <v>1.8</v>
      </c>
      <c r="D307" s="51" t="s">
        <v>196</v>
      </c>
      <c r="K307" s="35" t="s">
        <v>41</v>
      </c>
      <c r="M307" s="40">
        <v>0.14000000000000001</v>
      </c>
      <c r="N307" s="26" t="s">
        <v>93</v>
      </c>
      <c r="O307" s="26" t="s">
        <v>125</v>
      </c>
      <c r="P307" s="40">
        <f>(K23)</f>
        <v>7063.64</v>
      </c>
      <c r="Q307" s="26" t="s">
        <v>93</v>
      </c>
      <c r="R307" s="40">
        <f>(M307*P307)</f>
        <v>988.90960000000018</v>
      </c>
      <c r="AG307" s="48"/>
      <c r="AI307" s="26"/>
    </row>
    <row r="308" spans="1:35" ht="24" customHeight="1">
      <c r="A308" s="50">
        <f t="shared" si="25"/>
        <v>147</v>
      </c>
      <c r="B308" s="73" t="s">
        <v>553</v>
      </c>
      <c r="C308" s="73">
        <v>3</v>
      </c>
      <c r="D308" s="51" t="s">
        <v>196</v>
      </c>
      <c r="F308" s="77">
        <v>6.5</v>
      </c>
      <c r="G308" s="38" t="s">
        <v>67</v>
      </c>
      <c r="H308" s="26" t="s">
        <v>554</v>
      </c>
      <c r="M308" s="40">
        <v>1.1000000000000001</v>
      </c>
      <c r="N308" s="26" t="s">
        <v>105</v>
      </c>
      <c r="O308" s="26" t="s">
        <v>298</v>
      </c>
      <c r="P308" s="40">
        <f>(C10)</f>
        <v>1076.5999999999999</v>
      </c>
      <c r="Q308" s="26" t="s">
        <v>105</v>
      </c>
      <c r="R308" s="40">
        <f>(M308*P308)</f>
        <v>1184.26</v>
      </c>
      <c r="S308" s="32">
        <v>6.1</v>
      </c>
      <c r="T308" s="28" t="s">
        <v>67</v>
      </c>
      <c r="U308" s="28" t="s">
        <v>555</v>
      </c>
      <c r="AD308" s="64">
        <v>6</v>
      </c>
      <c r="AE308" s="38" t="s">
        <v>67</v>
      </c>
      <c r="AF308" s="26" t="s">
        <v>556</v>
      </c>
      <c r="AH308" s="31"/>
    </row>
    <row r="309" spans="1:35" ht="24" customHeight="1">
      <c r="A309" s="50">
        <f t="shared" si="25"/>
        <v>148</v>
      </c>
      <c r="B309" s="51" t="s">
        <v>557</v>
      </c>
      <c r="C309" s="113" t="s">
        <v>27</v>
      </c>
      <c r="D309" s="114"/>
      <c r="H309" s="26" t="s">
        <v>558</v>
      </c>
      <c r="M309" s="40">
        <v>0.5</v>
      </c>
      <c r="N309" s="26" t="s">
        <v>105</v>
      </c>
      <c r="O309" s="26" t="s">
        <v>271</v>
      </c>
      <c r="P309" s="40">
        <f>(C12)</f>
        <v>702.8</v>
      </c>
      <c r="Q309" s="26" t="s">
        <v>105</v>
      </c>
      <c r="R309" s="40">
        <f>(M309*P309)</f>
        <v>351.4</v>
      </c>
      <c r="U309" s="28" t="s">
        <v>559</v>
      </c>
      <c r="AE309" s="29"/>
      <c r="AF309" s="26" t="s">
        <v>560</v>
      </c>
      <c r="AH309" s="31"/>
    </row>
    <row r="310" spans="1:35" ht="24" customHeight="1">
      <c r="A310" s="50">
        <f t="shared" si="25"/>
        <v>149</v>
      </c>
      <c r="B310" s="51" t="s">
        <v>561</v>
      </c>
      <c r="C310" s="115">
        <v>66.44</v>
      </c>
      <c r="D310" s="116" t="s">
        <v>244</v>
      </c>
      <c r="H310" s="35" t="s">
        <v>48</v>
      </c>
      <c r="M310" s="40">
        <v>1.1000000000000001</v>
      </c>
      <c r="N310" s="26" t="s">
        <v>105</v>
      </c>
      <c r="O310" s="26" t="s">
        <v>276</v>
      </c>
      <c r="P310" s="40">
        <f>(C13)</f>
        <v>576.79999999999995</v>
      </c>
      <c r="Q310" s="26" t="s">
        <v>105</v>
      </c>
      <c r="R310" s="40">
        <f>(M310*P310)</f>
        <v>634.48</v>
      </c>
      <c r="U310" s="28" t="s">
        <v>48</v>
      </c>
      <c r="AE310" s="29"/>
      <c r="AF310" s="35" t="s">
        <v>48</v>
      </c>
      <c r="AH310" s="31"/>
    </row>
    <row r="311" spans="1:35" ht="15.75">
      <c r="A311" s="50">
        <f t="shared" si="25"/>
        <v>150</v>
      </c>
      <c r="B311" s="51" t="s">
        <v>562</v>
      </c>
      <c r="C311" s="115">
        <v>83.5</v>
      </c>
      <c r="D311" s="116" t="s">
        <v>244</v>
      </c>
      <c r="F311" s="40">
        <v>4800</v>
      </c>
      <c r="G311" s="38" t="s">
        <v>293</v>
      </c>
      <c r="H311" s="40" t="str">
        <f>H309</f>
        <v>Bricks of size 22x11x7 cm</v>
      </c>
      <c r="I311" s="40">
        <f>C80</f>
        <v>6767.65</v>
      </c>
      <c r="J311" s="26" t="s">
        <v>294</v>
      </c>
      <c r="K311" s="40">
        <f>(F311*I311)/1000</f>
        <v>32484.720000000001</v>
      </c>
      <c r="N311" s="26" t="s">
        <v>106</v>
      </c>
      <c r="O311" s="26" t="s">
        <v>107</v>
      </c>
      <c r="P311" s="26" t="s">
        <v>27</v>
      </c>
      <c r="Q311" s="26" t="s">
        <v>106</v>
      </c>
      <c r="R311" s="40">
        <v>0</v>
      </c>
      <c r="S311" s="32">
        <v>4600</v>
      </c>
      <c r="T311" s="28" t="s">
        <v>293</v>
      </c>
      <c r="U311" s="28" t="s">
        <v>559</v>
      </c>
      <c r="V311" s="117">
        <f>AE41</f>
        <v>8499.4500000000007</v>
      </c>
      <c r="W311" s="32" t="s">
        <v>563</v>
      </c>
      <c r="X311" s="28">
        <f>(V311*S311)/1000</f>
        <v>39097.47</v>
      </c>
      <c r="AD311" s="40">
        <v>4240</v>
      </c>
      <c r="AE311" s="38" t="s">
        <v>293</v>
      </c>
      <c r="AF311" s="40" t="str">
        <f>AF309</f>
        <v>Bricks of size 23x11.4x7.5 cm</v>
      </c>
      <c r="AG311" s="40">
        <f>AE42</f>
        <v>8686.4500000000007</v>
      </c>
      <c r="AH311" s="26" t="s">
        <v>294</v>
      </c>
      <c r="AI311" s="40">
        <f>(AD311*AG311)/1000</f>
        <v>36830.548000000003</v>
      </c>
    </row>
    <row r="312" spans="1:35" ht="24" customHeight="1">
      <c r="A312" s="50">
        <f t="shared" si="25"/>
        <v>151</v>
      </c>
      <c r="B312" s="51" t="s">
        <v>564</v>
      </c>
      <c r="C312" s="115">
        <v>102.12</v>
      </c>
      <c r="D312" s="116" t="s">
        <v>244</v>
      </c>
      <c r="F312" s="40">
        <v>2.5</v>
      </c>
      <c r="G312" s="38" t="s">
        <v>93</v>
      </c>
      <c r="H312" s="26" t="s">
        <v>245</v>
      </c>
      <c r="I312" s="40">
        <f>K49</f>
        <v>4558.04</v>
      </c>
      <c r="J312" s="26" t="s">
        <v>93</v>
      </c>
      <c r="K312" s="40">
        <f>(F312*I312)</f>
        <v>11395.1</v>
      </c>
      <c r="R312" s="35" t="s">
        <v>48</v>
      </c>
      <c r="S312" s="32">
        <v>2.5</v>
      </c>
      <c r="T312" s="28" t="s">
        <v>93</v>
      </c>
      <c r="U312" s="28" t="s">
        <v>245</v>
      </c>
      <c r="V312" s="117">
        <f>K49</f>
        <v>4558.04</v>
      </c>
      <c r="W312" s="28" t="s">
        <v>93</v>
      </c>
      <c r="X312" s="28">
        <f>V312*S312</f>
        <v>11395.1</v>
      </c>
      <c r="AD312" s="40">
        <v>2</v>
      </c>
      <c r="AE312" s="38" t="s">
        <v>93</v>
      </c>
      <c r="AF312" s="26" t="s">
        <v>245</v>
      </c>
      <c r="AG312" s="40">
        <f>K49</f>
        <v>4558.04</v>
      </c>
      <c r="AH312" s="26" t="s">
        <v>93</v>
      </c>
      <c r="AI312" s="40">
        <f>(AD312*AG312)</f>
        <v>9116.08</v>
      </c>
    </row>
    <row r="313" spans="1:35" ht="24" customHeight="1">
      <c r="A313" s="50">
        <f t="shared" si="25"/>
        <v>152</v>
      </c>
      <c r="B313" s="51" t="s">
        <v>565</v>
      </c>
      <c r="C313" s="115">
        <v>182.52</v>
      </c>
      <c r="D313" s="116" t="s">
        <v>244</v>
      </c>
      <c r="F313" s="40">
        <v>3.5</v>
      </c>
      <c r="G313" s="38" t="s">
        <v>105</v>
      </c>
      <c r="H313" s="26" t="s">
        <v>298</v>
      </c>
      <c r="I313" s="40">
        <f>C10</f>
        <v>1076.5999999999999</v>
      </c>
      <c r="J313" s="26" t="s">
        <v>105</v>
      </c>
      <c r="K313" s="40">
        <f>(F313*I313)</f>
        <v>3768.0999999999995</v>
      </c>
      <c r="O313" s="26" t="s">
        <v>401</v>
      </c>
      <c r="R313" s="40">
        <f>SUM(R307:R311)</f>
        <v>3159.0496000000003</v>
      </c>
      <c r="S313" s="32">
        <v>3.5</v>
      </c>
      <c r="T313" s="28" t="s">
        <v>105</v>
      </c>
      <c r="U313" s="28" t="s">
        <v>298</v>
      </c>
      <c r="V313" s="117">
        <f>I313</f>
        <v>1076.5999999999999</v>
      </c>
      <c r="W313" s="28" t="s">
        <v>105</v>
      </c>
      <c r="X313" s="28">
        <f>V313*S313</f>
        <v>3768.0999999999995</v>
      </c>
      <c r="AD313" s="40">
        <v>3.5</v>
      </c>
      <c r="AE313" s="38" t="s">
        <v>105</v>
      </c>
      <c r="AF313" s="26" t="s">
        <v>298</v>
      </c>
      <c r="AG313" s="40">
        <f>V313</f>
        <v>1076.5999999999999</v>
      </c>
      <c r="AH313" s="26" t="s">
        <v>105</v>
      </c>
      <c r="AI313" s="40">
        <f>(AD313*AG313)</f>
        <v>3768.0999999999995</v>
      </c>
    </row>
    <row r="314" spans="1:35" ht="24" customHeight="1">
      <c r="A314" s="50">
        <f t="shared" si="25"/>
        <v>153</v>
      </c>
      <c r="B314" s="51" t="s">
        <v>566</v>
      </c>
      <c r="C314" s="118"/>
      <c r="D314" s="118"/>
      <c r="F314" s="40">
        <v>10.6</v>
      </c>
      <c r="G314" s="38" t="s">
        <v>105</v>
      </c>
      <c r="H314" s="26" t="s">
        <v>269</v>
      </c>
      <c r="I314" s="40">
        <f>C11</f>
        <v>1005.1999999999999</v>
      </c>
      <c r="J314" s="26" t="s">
        <v>105</v>
      </c>
      <c r="K314" s="40">
        <f>(F314*I314)</f>
        <v>10655.119999999999</v>
      </c>
      <c r="R314" s="35" t="s">
        <v>48</v>
      </c>
      <c r="S314" s="32">
        <v>10.6</v>
      </c>
      <c r="T314" s="28" t="s">
        <v>105</v>
      </c>
      <c r="U314" s="28" t="s">
        <v>269</v>
      </c>
      <c r="V314" s="117">
        <f>I314</f>
        <v>1005.1999999999999</v>
      </c>
      <c r="W314" s="28" t="s">
        <v>105</v>
      </c>
      <c r="X314" s="28">
        <f>V314*S314</f>
        <v>10655.119999999999</v>
      </c>
      <c r="AD314" s="40">
        <v>10.6</v>
      </c>
      <c r="AE314" s="38" t="s">
        <v>105</v>
      </c>
      <c r="AF314" s="26" t="s">
        <v>269</v>
      </c>
      <c r="AG314" s="40">
        <f>V314</f>
        <v>1005.1999999999999</v>
      </c>
      <c r="AH314" s="26" t="s">
        <v>105</v>
      </c>
      <c r="AI314" s="40">
        <f>(AD314*AG314)</f>
        <v>10655.119999999999</v>
      </c>
    </row>
    <row r="315" spans="1:35" ht="24" customHeight="1">
      <c r="A315" s="50">
        <f t="shared" si="25"/>
        <v>154</v>
      </c>
      <c r="B315" s="51" t="s">
        <v>561</v>
      </c>
      <c r="C315" s="115">
        <v>26.62</v>
      </c>
      <c r="D315" s="116" t="s">
        <v>196</v>
      </c>
      <c r="F315" s="40">
        <v>7.1</v>
      </c>
      <c r="G315" s="38" t="s">
        <v>105</v>
      </c>
      <c r="H315" s="26" t="s">
        <v>271</v>
      </c>
      <c r="I315" s="40">
        <f>C12</f>
        <v>702.8</v>
      </c>
      <c r="J315" s="26" t="s">
        <v>105</v>
      </c>
      <c r="K315" s="40">
        <f>(F315*I315)</f>
        <v>4989.8799999999992</v>
      </c>
      <c r="O315" s="26" t="s">
        <v>403</v>
      </c>
      <c r="R315" s="40">
        <f>(R313/10)</f>
        <v>315.90496000000002</v>
      </c>
      <c r="S315" s="32">
        <v>7.1</v>
      </c>
      <c r="T315" s="28" t="s">
        <v>105</v>
      </c>
      <c r="U315" s="28" t="s">
        <v>271</v>
      </c>
      <c r="V315" s="117">
        <f>I315</f>
        <v>702.8</v>
      </c>
      <c r="W315" s="28" t="s">
        <v>105</v>
      </c>
      <c r="X315" s="28">
        <f>V315*S315</f>
        <v>4989.8799999999992</v>
      </c>
      <c r="AD315" s="40">
        <v>7.1</v>
      </c>
      <c r="AE315" s="38" t="s">
        <v>105</v>
      </c>
      <c r="AF315" s="26" t="s">
        <v>271</v>
      </c>
      <c r="AG315" s="40">
        <f>V315</f>
        <v>702.8</v>
      </c>
      <c r="AH315" s="26" t="s">
        <v>105</v>
      </c>
      <c r="AI315" s="40">
        <f>(AD315*AG315)</f>
        <v>4989.8799999999992</v>
      </c>
    </row>
    <row r="316" spans="1:35" ht="24" customHeight="1">
      <c r="A316" s="50">
        <f t="shared" si="25"/>
        <v>155</v>
      </c>
      <c r="B316" s="51" t="s">
        <v>562</v>
      </c>
      <c r="C316" s="115">
        <v>34.869999999999997</v>
      </c>
      <c r="D316" s="116" t="s">
        <v>196</v>
      </c>
      <c r="F316" s="40">
        <v>21.2</v>
      </c>
      <c r="G316" s="38" t="s">
        <v>105</v>
      </c>
      <c r="H316" s="26" t="s">
        <v>276</v>
      </c>
      <c r="I316" s="40">
        <f>C13</f>
        <v>576.79999999999995</v>
      </c>
      <c r="J316" s="26" t="s">
        <v>105</v>
      </c>
      <c r="K316" s="40">
        <f>(F316*I316)</f>
        <v>12228.159999999998</v>
      </c>
      <c r="R316" s="35" t="s">
        <v>41</v>
      </c>
      <c r="S316" s="32">
        <v>21.2</v>
      </c>
      <c r="T316" s="28" t="s">
        <v>105</v>
      </c>
      <c r="U316" s="28" t="s">
        <v>276</v>
      </c>
      <c r="V316" s="117">
        <f>I316</f>
        <v>576.79999999999995</v>
      </c>
      <c r="W316" s="28" t="s">
        <v>105</v>
      </c>
      <c r="X316" s="28">
        <f>V316*S316</f>
        <v>12228.159999999998</v>
      </c>
      <c r="AD316" s="40">
        <v>21.2</v>
      </c>
      <c r="AE316" s="38" t="s">
        <v>105</v>
      </c>
      <c r="AF316" s="26" t="s">
        <v>276</v>
      </c>
      <c r="AG316" s="40">
        <f>V316</f>
        <v>576.79999999999995</v>
      </c>
      <c r="AH316" s="26" t="s">
        <v>105</v>
      </c>
      <c r="AI316" s="40">
        <f>(AD316*AG316)</f>
        <v>12228.159999999998</v>
      </c>
    </row>
    <row r="317" spans="1:35" ht="24" customHeight="1">
      <c r="A317" s="50">
        <f t="shared" si="25"/>
        <v>156</v>
      </c>
      <c r="B317" s="51" t="s">
        <v>564</v>
      </c>
      <c r="C317" s="115">
        <v>45</v>
      </c>
      <c r="D317" s="116" t="s">
        <v>196</v>
      </c>
      <c r="G317" s="38" t="s">
        <v>106</v>
      </c>
      <c r="H317" s="26" t="s">
        <v>107</v>
      </c>
      <c r="J317" s="26" t="s">
        <v>106</v>
      </c>
      <c r="K317" s="40">
        <v>0</v>
      </c>
      <c r="N317" s="26" t="s">
        <v>67</v>
      </c>
      <c r="O317" s="26" t="s">
        <v>567</v>
      </c>
      <c r="T317" s="28" t="s">
        <v>106</v>
      </c>
      <c r="U317" s="28" t="s">
        <v>107</v>
      </c>
      <c r="W317" s="28" t="s">
        <v>106</v>
      </c>
      <c r="X317" s="28">
        <v>0</v>
      </c>
      <c r="AE317" s="38" t="s">
        <v>106</v>
      </c>
      <c r="AF317" s="26" t="s">
        <v>107</v>
      </c>
      <c r="AH317" s="26" t="s">
        <v>106</v>
      </c>
      <c r="AI317" s="40">
        <v>0</v>
      </c>
    </row>
    <row r="318" spans="1:35" ht="24" customHeight="1">
      <c r="A318" s="50">
        <f t="shared" si="25"/>
        <v>157</v>
      </c>
      <c r="B318" s="51" t="s">
        <v>565</v>
      </c>
      <c r="C318" s="115">
        <v>99.75</v>
      </c>
      <c r="D318" s="116" t="s">
        <v>196</v>
      </c>
      <c r="K318" s="35" t="s">
        <v>48</v>
      </c>
      <c r="O318" s="35" t="s">
        <v>48</v>
      </c>
      <c r="X318" s="28" t="s">
        <v>48</v>
      </c>
      <c r="AE318" s="29"/>
      <c r="AH318" s="31"/>
      <c r="AI318" s="35" t="s">
        <v>48</v>
      </c>
    </row>
    <row r="319" spans="1:35" ht="24" customHeight="1">
      <c r="A319" s="50">
        <f t="shared" si="25"/>
        <v>158</v>
      </c>
      <c r="B319" s="51" t="s">
        <v>568</v>
      </c>
      <c r="C319" s="118"/>
      <c r="D319" s="118"/>
      <c r="H319" s="26" t="s">
        <v>280</v>
      </c>
      <c r="K319" s="40">
        <f>SUM(K311:K317)</f>
        <v>75521.079999999987</v>
      </c>
      <c r="M319" s="40">
        <v>0.1</v>
      </c>
      <c r="N319" s="26" t="s">
        <v>93</v>
      </c>
      <c r="O319" s="26" t="s">
        <v>125</v>
      </c>
      <c r="P319" s="40">
        <f>(K23)</f>
        <v>7063.64</v>
      </c>
      <c r="Q319" s="26" t="s">
        <v>93</v>
      </c>
      <c r="R319" s="40">
        <f>(M319*P319)</f>
        <v>706.36400000000003</v>
      </c>
      <c r="U319" s="28" t="s">
        <v>280</v>
      </c>
      <c r="X319" s="28">
        <f>SUM(X311:X318)</f>
        <v>82133.83</v>
      </c>
      <c r="AE319" s="29"/>
      <c r="AF319" s="26" t="s">
        <v>280</v>
      </c>
      <c r="AH319" s="31"/>
      <c r="AI319" s="40">
        <f>SUM(AI311:AI317)</f>
        <v>77587.887999999992</v>
      </c>
    </row>
    <row r="320" spans="1:35" ht="24" customHeight="1">
      <c r="A320" s="50">
        <f t="shared" si="25"/>
        <v>159</v>
      </c>
      <c r="B320" s="51" t="s">
        <v>561</v>
      </c>
      <c r="C320" s="115">
        <v>43.47</v>
      </c>
      <c r="D320" s="116" t="s">
        <v>196</v>
      </c>
      <c r="K320" s="35" t="s">
        <v>48</v>
      </c>
      <c r="M320" s="40">
        <v>1.1000000000000001</v>
      </c>
      <c r="N320" s="26" t="s">
        <v>105</v>
      </c>
      <c r="O320" s="26" t="s">
        <v>298</v>
      </c>
      <c r="P320" s="40">
        <f>(C10)</f>
        <v>1076.5999999999999</v>
      </c>
      <c r="Q320" s="26" t="s">
        <v>105</v>
      </c>
      <c r="R320" s="40">
        <f>(M320*P320)</f>
        <v>1184.26</v>
      </c>
      <c r="X320" s="28" t="s">
        <v>48</v>
      </c>
      <c r="AE320" s="29"/>
      <c r="AH320" s="31"/>
      <c r="AI320" s="35" t="s">
        <v>48</v>
      </c>
    </row>
    <row r="321" spans="1:36" ht="24" customHeight="1">
      <c r="A321" s="50">
        <f t="shared" si="25"/>
        <v>160</v>
      </c>
      <c r="B321" s="51" t="s">
        <v>562</v>
      </c>
      <c r="C321" s="115">
        <v>50.34</v>
      </c>
      <c r="D321" s="116" t="s">
        <v>196</v>
      </c>
      <c r="H321" s="42" t="s">
        <v>201</v>
      </c>
      <c r="K321" s="39">
        <f>(K319/10)</f>
        <v>7552.1079999999984</v>
      </c>
      <c r="M321" s="40">
        <v>1.1000000000000001</v>
      </c>
      <c r="N321" s="26" t="s">
        <v>105</v>
      </c>
      <c r="O321" s="26" t="s">
        <v>271</v>
      </c>
      <c r="P321" s="40">
        <f>(C12)</f>
        <v>702.8</v>
      </c>
      <c r="Q321" s="26" t="s">
        <v>105</v>
      </c>
      <c r="R321" s="40">
        <f>(M321*P321)</f>
        <v>773.08</v>
      </c>
      <c r="U321" s="28" t="s">
        <v>201</v>
      </c>
      <c r="X321" s="41">
        <f>X319/10</f>
        <v>8213.3829999999998</v>
      </c>
      <c r="Y321" s="41"/>
      <c r="AE321" s="29"/>
      <c r="AF321" s="42" t="s">
        <v>201</v>
      </c>
      <c r="AH321" s="31"/>
      <c r="AI321" s="39">
        <f>(AI319/10)</f>
        <v>7758.7887999999994</v>
      </c>
    </row>
    <row r="322" spans="1:36" ht="24" customHeight="1">
      <c r="A322" s="50">
        <f t="shared" si="25"/>
        <v>161</v>
      </c>
      <c r="B322" s="51" t="s">
        <v>564</v>
      </c>
      <c r="C322" s="115">
        <v>65.209999999999994</v>
      </c>
      <c r="D322" s="116" t="s">
        <v>196</v>
      </c>
      <c r="K322" s="35" t="s">
        <v>41</v>
      </c>
      <c r="M322" s="40">
        <v>1.1000000000000001</v>
      </c>
      <c r="N322" s="26" t="s">
        <v>105</v>
      </c>
      <c r="O322" s="26" t="s">
        <v>276</v>
      </c>
      <c r="P322" s="40">
        <f>(C13)</f>
        <v>576.79999999999995</v>
      </c>
      <c r="Q322" s="26" t="s">
        <v>105</v>
      </c>
      <c r="R322" s="40">
        <f>(M322*P322)</f>
        <v>634.48</v>
      </c>
      <c r="AE322" s="29"/>
      <c r="AH322" s="31"/>
      <c r="AI322" s="35" t="s">
        <v>41</v>
      </c>
    </row>
    <row r="323" spans="1:36" ht="24" customHeight="1">
      <c r="A323" s="50">
        <f t="shared" si="25"/>
        <v>162</v>
      </c>
      <c r="B323" s="51" t="s">
        <v>565</v>
      </c>
      <c r="C323" s="115">
        <v>145.29</v>
      </c>
      <c r="D323" s="116" t="s">
        <v>196</v>
      </c>
      <c r="H323" s="26" t="s">
        <v>309</v>
      </c>
      <c r="K323" s="40">
        <f>(K321+C19)</f>
        <v>7634.9879999999985</v>
      </c>
      <c r="L323" s="28">
        <f>K323-K321</f>
        <v>82.880000000000109</v>
      </c>
      <c r="N323" s="26" t="s">
        <v>106</v>
      </c>
      <c r="O323" s="26" t="s">
        <v>107</v>
      </c>
      <c r="P323" s="26" t="s">
        <v>27</v>
      </c>
      <c r="Q323" s="26" t="s">
        <v>106</v>
      </c>
      <c r="R323" s="40">
        <v>0</v>
      </c>
      <c r="U323" s="28" t="s">
        <v>309</v>
      </c>
      <c r="X323" s="28">
        <f>X321+C19</f>
        <v>8296.262999999999</v>
      </c>
      <c r="Z323" s="28">
        <f>X323-X321</f>
        <v>82.8799999999992</v>
      </c>
      <c r="AE323" s="29"/>
      <c r="AF323" s="26" t="s">
        <v>309</v>
      </c>
      <c r="AH323" s="31"/>
      <c r="AI323" s="40">
        <f>AI321+C19</f>
        <v>7841.6687999999995</v>
      </c>
      <c r="AJ323" s="28">
        <f>AI323-AI321</f>
        <v>82.880000000000109</v>
      </c>
    </row>
    <row r="324" spans="1:36" ht="24" customHeight="1">
      <c r="A324" s="50">
        <f t="shared" si="25"/>
        <v>163</v>
      </c>
      <c r="B324" s="51" t="s">
        <v>569</v>
      </c>
      <c r="C324" s="118"/>
      <c r="D324" s="118"/>
      <c r="H324" s="26" t="s">
        <v>313</v>
      </c>
      <c r="K324" s="40">
        <f>(K323+C20)</f>
        <v>7802.007999999998</v>
      </c>
      <c r="L324" s="28">
        <f>K324-K323</f>
        <v>167.01999999999953</v>
      </c>
      <c r="R324" s="35" t="s">
        <v>48</v>
      </c>
      <c r="U324" s="28" t="s">
        <v>313</v>
      </c>
      <c r="X324" s="28">
        <f>X323+C20</f>
        <v>8463.2829999999994</v>
      </c>
      <c r="Z324" s="28">
        <f>X324-X323</f>
        <v>167.02000000000044</v>
      </c>
      <c r="AE324" s="29"/>
      <c r="AF324" s="26" t="s">
        <v>313</v>
      </c>
      <c r="AH324" s="31"/>
      <c r="AI324" s="40">
        <f>AI323+C20</f>
        <v>8008.6887999999999</v>
      </c>
      <c r="AJ324" s="28">
        <f>AI324-AI323</f>
        <v>167.02000000000044</v>
      </c>
    </row>
    <row r="325" spans="1:36" ht="24" customHeight="1">
      <c r="A325" s="50">
        <f t="shared" si="25"/>
        <v>164</v>
      </c>
      <c r="B325" s="51" t="s">
        <v>561</v>
      </c>
      <c r="C325" s="115">
        <v>14.91</v>
      </c>
      <c r="D325" s="116" t="s">
        <v>244</v>
      </c>
      <c r="H325" s="26" t="s">
        <v>316</v>
      </c>
      <c r="K325" s="40">
        <f>(K324+C21)</f>
        <v>7969.0279999999984</v>
      </c>
      <c r="M325" s="28">
        <f>(K325+K324)/2</f>
        <v>7885.5179999999982</v>
      </c>
      <c r="O325" s="26" t="s">
        <v>401</v>
      </c>
      <c r="R325" s="40">
        <f>SUM(R319:R323)</f>
        <v>3298.1840000000002</v>
      </c>
      <c r="U325" s="28" t="s">
        <v>316</v>
      </c>
      <c r="X325" s="28">
        <f>X324+C20</f>
        <v>8630.3029999999999</v>
      </c>
      <c r="AE325" s="29"/>
      <c r="AF325" s="26" t="s">
        <v>316</v>
      </c>
      <c r="AH325" s="31"/>
      <c r="AI325" s="40">
        <f>AI324+C20</f>
        <v>8175.7088000000003</v>
      </c>
      <c r="AJ325" s="28">
        <f>AI324-AI323</f>
        <v>167.02000000000044</v>
      </c>
    </row>
    <row r="326" spans="1:36" ht="24" customHeight="1">
      <c r="A326" s="50">
        <f t="shared" si="25"/>
        <v>165</v>
      </c>
      <c r="B326" s="51" t="s">
        <v>562</v>
      </c>
      <c r="C326" s="115">
        <v>19.41</v>
      </c>
      <c r="D326" s="116" t="s">
        <v>244</v>
      </c>
      <c r="H326" s="26" t="s">
        <v>318</v>
      </c>
      <c r="K326" s="40">
        <f>(K325+C21)</f>
        <v>8136.0479999999989</v>
      </c>
      <c r="R326" s="35" t="s">
        <v>48</v>
      </c>
      <c r="U326" s="28" t="s">
        <v>318</v>
      </c>
      <c r="X326" s="28">
        <f>X325+C20</f>
        <v>8797.3230000000003</v>
      </c>
      <c r="AE326" s="29"/>
      <c r="AF326" s="26" t="s">
        <v>318</v>
      </c>
      <c r="AH326" s="31"/>
      <c r="AI326" s="40">
        <f>AI325+C20</f>
        <v>8342.7288000000008</v>
      </c>
    </row>
    <row r="327" spans="1:36" ht="24" customHeight="1">
      <c r="A327" s="50">
        <f t="shared" si="25"/>
        <v>166</v>
      </c>
      <c r="B327" s="51" t="s">
        <v>564</v>
      </c>
      <c r="C327" s="115">
        <v>22.22</v>
      </c>
      <c r="D327" s="116" t="s">
        <v>244</v>
      </c>
      <c r="H327" s="26" t="s">
        <v>323</v>
      </c>
      <c r="K327" s="40">
        <f>(K326+C21)</f>
        <v>8303.0679999999993</v>
      </c>
      <c r="O327" s="26" t="s">
        <v>403</v>
      </c>
      <c r="R327" s="40">
        <f>(R325/10)</f>
        <v>329.8184</v>
      </c>
      <c r="U327" s="28" t="s">
        <v>323</v>
      </c>
      <c r="X327" s="28">
        <f>X326+C20</f>
        <v>8964.3430000000008</v>
      </c>
      <c r="AE327" s="29"/>
      <c r="AF327" s="26" t="s">
        <v>323</v>
      </c>
      <c r="AH327" s="31"/>
      <c r="AI327" s="40">
        <f>AI326+C20</f>
        <v>8509.7488000000012</v>
      </c>
    </row>
    <row r="328" spans="1:36" ht="24" customHeight="1">
      <c r="A328" s="50"/>
      <c r="B328" s="51"/>
      <c r="C328" s="115"/>
      <c r="D328" s="116"/>
      <c r="H328" s="26"/>
      <c r="K328" s="40"/>
      <c r="O328" s="26"/>
      <c r="R328" s="40"/>
      <c r="AG328" s="47"/>
      <c r="AI328" s="26"/>
    </row>
    <row r="329" spans="1:36" ht="24" customHeight="1">
      <c r="A329" s="50"/>
      <c r="B329" s="51"/>
      <c r="C329" s="115"/>
      <c r="D329" s="116"/>
      <c r="F329" s="27" t="s">
        <v>570</v>
      </c>
      <c r="H329" s="26" t="s">
        <v>571</v>
      </c>
      <c r="K329" s="119">
        <v>705</v>
      </c>
      <c r="L329" s="28" t="s">
        <v>572</v>
      </c>
      <c r="O329" s="26"/>
      <c r="R329" s="40"/>
      <c r="AG329" s="47"/>
      <c r="AI329" s="26"/>
    </row>
    <row r="330" spans="1:36" ht="24" customHeight="1">
      <c r="A330" s="50"/>
      <c r="B330" s="51"/>
      <c r="C330" s="115"/>
      <c r="D330" s="116"/>
      <c r="H330" s="26" t="s">
        <v>573</v>
      </c>
      <c r="K330" s="35" t="s">
        <v>41</v>
      </c>
      <c r="O330" s="26"/>
      <c r="R330" s="40"/>
      <c r="AG330" s="47"/>
      <c r="AI330" s="26"/>
    </row>
    <row r="331" spans="1:36" ht="24" customHeight="1">
      <c r="A331" s="50"/>
      <c r="B331" s="51"/>
      <c r="C331" s="115"/>
      <c r="D331" s="116"/>
      <c r="H331" s="26"/>
      <c r="K331" s="40"/>
      <c r="O331" s="26"/>
      <c r="R331" s="40"/>
      <c r="AG331" s="47"/>
      <c r="AI331" s="26"/>
    </row>
    <row r="332" spans="1:36" ht="24" customHeight="1">
      <c r="A332" s="50">
        <f>(A327+1)</f>
        <v>167</v>
      </c>
      <c r="B332" s="51" t="s">
        <v>565</v>
      </c>
      <c r="C332" s="115">
        <v>46.42</v>
      </c>
      <c r="D332" s="116" t="s">
        <v>244</v>
      </c>
      <c r="F332" s="64">
        <v>9</v>
      </c>
      <c r="G332" s="38" t="s">
        <v>67</v>
      </c>
      <c r="H332" s="26" t="s">
        <v>574</v>
      </c>
      <c r="R332" s="35" t="s">
        <v>41</v>
      </c>
      <c r="S332" s="32">
        <v>9</v>
      </c>
      <c r="T332" s="28" t="s">
        <v>67</v>
      </c>
      <c r="U332" s="28" t="s">
        <v>575</v>
      </c>
      <c r="AD332" s="64">
        <v>9</v>
      </c>
      <c r="AE332" s="38" t="s">
        <v>67</v>
      </c>
      <c r="AF332" s="26" t="s">
        <v>576</v>
      </c>
      <c r="AH332" s="31"/>
    </row>
    <row r="333" spans="1:36" ht="24" customHeight="1">
      <c r="A333" s="50">
        <f t="shared" si="25"/>
        <v>168</v>
      </c>
      <c r="B333" s="51" t="s">
        <v>577</v>
      </c>
      <c r="C333" s="118"/>
      <c r="D333" s="118"/>
      <c r="H333" s="26" t="str">
        <f>H309</f>
        <v>Bricks of size 22x11x7 cm</v>
      </c>
      <c r="U333" s="28" t="s">
        <v>559</v>
      </c>
      <c r="AE333" s="29"/>
      <c r="AF333" s="26" t="str">
        <f>AF309</f>
        <v>Bricks of size 23x11.4x7.5 cm</v>
      </c>
      <c r="AH333" s="31"/>
    </row>
    <row r="334" spans="1:36" ht="24" customHeight="1">
      <c r="A334" s="50">
        <f t="shared" si="25"/>
        <v>169</v>
      </c>
      <c r="B334" s="51" t="s">
        <v>561</v>
      </c>
      <c r="C334" s="115">
        <v>8.58</v>
      </c>
      <c r="D334" s="116" t="s">
        <v>196</v>
      </c>
      <c r="H334" s="35" t="s">
        <v>48</v>
      </c>
      <c r="N334" s="26" t="s">
        <v>67</v>
      </c>
      <c r="O334" s="26" t="s">
        <v>578</v>
      </c>
      <c r="U334" s="28" t="s">
        <v>48</v>
      </c>
      <c r="AE334" s="29"/>
      <c r="AF334" s="35" t="s">
        <v>48</v>
      </c>
      <c r="AH334" s="31"/>
    </row>
    <row r="335" spans="1:36" ht="24" customHeight="1">
      <c r="A335" s="50">
        <f t="shared" si="25"/>
        <v>170</v>
      </c>
      <c r="B335" s="51" t="s">
        <v>562</v>
      </c>
      <c r="C335" s="115">
        <v>12.26</v>
      </c>
      <c r="D335" s="116" t="s">
        <v>196</v>
      </c>
      <c r="F335" s="40">
        <f>F311</f>
        <v>4800</v>
      </c>
      <c r="G335" s="38" t="s">
        <v>293</v>
      </c>
      <c r="H335" s="40" t="str">
        <f>H309</f>
        <v>Bricks of size 22x11x7 cm</v>
      </c>
      <c r="I335" s="40">
        <f>C80</f>
        <v>6767.65</v>
      </c>
      <c r="J335" s="26" t="s">
        <v>294</v>
      </c>
      <c r="K335" s="40">
        <f>(F335*I335)/1000</f>
        <v>32484.720000000001</v>
      </c>
      <c r="O335" s="35" t="s">
        <v>48</v>
      </c>
      <c r="S335" s="32">
        <v>4600</v>
      </c>
      <c r="T335" s="28" t="s">
        <v>293</v>
      </c>
      <c r="U335" s="28" t="s">
        <v>559</v>
      </c>
      <c r="V335" s="28">
        <f>AE41</f>
        <v>8499.4500000000007</v>
      </c>
      <c r="W335" s="28" t="s">
        <v>294</v>
      </c>
      <c r="X335" s="28">
        <f>V335*S335/1000</f>
        <v>39097.47</v>
      </c>
      <c r="AD335" s="40">
        <f>AD311</f>
        <v>4240</v>
      </c>
      <c r="AE335" s="38" t="s">
        <v>293</v>
      </c>
      <c r="AF335" s="40" t="str">
        <f>AF309</f>
        <v>Bricks of size 23x11.4x7.5 cm</v>
      </c>
      <c r="AG335" s="40">
        <f>AE42</f>
        <v>8686.4500000000007</v>
      </c>
      <c r="AH335" s="26" t="s">
        <v>294</v>
      </c>
      <c r="AI335" s="40">
        <f>AG335*AD335/1000</f>
        <v>36830.548000000003</v>
      </c>
    </row>
    <row r="336" spans="1:36" ht="24" customHeight="1">
      <c r="A336" s="50">
        <f t="shared" si="25"/>
        <v>171</v>
      </c>
      <c r="B336" s="51" t="s">
        <v>564</v>
      </c>
      <c r="C336" s="115">
        <v>13.89</v>
      </c>
      <c r="D336" s="116" t="s">
        <v>196</v>
      </c>
      <c r="F336" s="40">
        <f>F312</f>
        <v>2.5</v>
      </c>
      <c r="G336" s="38" t="s">
        <v>93</v>
      </c>
      <c r="H336" s="26" t="s">
        <v>266</v>
      </c>
      <c r="I336" s="40">
        <f>K58</f>
        <v>4279.6400000000003</v>
      </c>
      <c r="J336" s="26" t="s">
        <v>93</v>
      </c>
      <c r="K336" s="40">
        <f>(F336*I336)</f>
        <v>10699.1</v>
      </c>
      <c r="M336" s="40">
        <v>0.22</v>
      </c>
      <c r="N336" s="26" t="s">
        <v>93</v>
      </c>
      <c r="O336" s="26" t="s">
        <v>245</v>
      </c>
      <c r="P336" s="40">
        <f>(K49)</f>
        <v>4558.04</v>
      </c>
      <c r="Q336" s="26" t="s">
        <v>93</v>
      </c>
      <c r="R336" s="40">
        <f>(M336*P336)</f>
        <v>1002.7687999999999</v>
      </c>
      <c r="S336" s="32">
        <v>2.5</v>
      </c>
      <c r="T336" s="28" t="s">
        <v>93</v>
      </c>
      <c r="U336" s="28" t="s">
        <v>266</v>
      </c>
      <c r="V336" s="28">
        <f>I336</f>
        <v>4279.6400000000003</v>
      </c>
      <c r="W336" s="28" t="s">
        <v>93</v>
      </c>
      <c r="X336" s="28">
        <f t="shared" ref="X336:X341" si="27">V336*S336</f>
        <v>10699.1</v>
      </c>
      <c r="AD336" s="40">
        <f>AD312</f>
        <v>2</v>
      </c>
      <c r="AE336" s="38" t="s">
        <v>93</v>
      </c>
      <c r="AF336" s="26" t="s">
        <v>266</v>
      </c>
      <c r="AG336" s="40">
        <f>V336</f>
        <v>4279.6400000000003</v>
      </c>
      <c r="AH336" s="26" t="s">
        <v>93</v>
      </c>
      <c r="AI336" s="40">
        <f>AG336*AD336</f>
        <v>8559.2800000000007</v>
      </c>
    </row>
    <row r="337" spans="1:35" ht="24" customHeight="1">
      <c r="A337" s="50">
        <f t="shared" si="25"/>
        <v>172</v>
      </c>
      <c r="B337" s="51" t="s">
        <v>565</v>
      </c>
      <c r="C337" s="115">
        <v>36.25</v>
      </c>
      <c r="D337" s="116" t="s">
        <v>196</v>
      </c>
      <c r="F337" s="40">
        <v>3.5</v>
      </c>
      <c r="G337" s="38" t="s">
        <v>105</v>
      </c>
      <c r="H337" s="26" t="s">
        <v>298</v>
      </c>
      <c r="I337" s="40">
        <f>C10</f>
        <v>1076.5999999999999</v>
      </c>
      <c r="J337" s="26" t="s">
        <v>105</v>
      </c>
      <c r="K337" s="40">
        <f>(F337*I337)</f>
        <v>3768.0999999999995</v>
      </c>
      <c r="M337" s="40">
        <v>2.2000000000000002</v>
      </c>
      <c r="N337" s="26" t="s">
        <v>105</v>
      </c>
      <c r="O337" s="26" t="s">
        <v>298</v>
      </c>
      <c r="P337" s="40">
        <f>(C10)</f>
        <v>1076.5999999999999</v>
      </c>
      <c r="Q337" s="26" t="s">
        <v>105</v>
      </c>
      <c r="R337" s="40">
        <f>(M337*P337)</f>
        <v>2368.52</v>
      </c>
      <c r="S337" s="32">
        <v>3.5</v>
      </c>
      <c r="T337" s="28" t="s">
        <v>105</v>
      </c>
      <c r="U337" s="28" t="s">
        <v>298</v>
      </c>
      <c r="V337" s="28">
        <f>I337</f>
        <v>1076.5999999999999</v>
      </c>
      <c r="W337" s="28" t="s">
        <v>105</v>
      </c>
      <c r="X337" s="28">
        <f t="shared" si="27"/>
        <v>3768.0999999999995</v>
      </c>
      <c r="AD337" s="40">
        <v>3.5</v>
      </c>
      <c r="AE337" s="38" t="s">
        <v>105</v>
      </c>
      <c r="AF337" s="26" t="s">
        <v>298</v>
      </c>
      <c r="AG337" s="40">
        <f>V337</f>
        <v>1076.5999999999999</v>
      </c>
      <c r="AH337" s="26" t="s">
        <v>105</v>
      </c>
      <c r="AI337" s="40">
        <f>AG337*AD337</f>
        <v>3768.0999999999995</v>
      </c>
    </row>
    <row r="338" spans="1:35" ht="24" customHeight="1">
      <c r="A338" s="50">
        <f t="shared" si="25"/>
        <v>173</v>
      </c>
      <c r="B338" s="51" t="s">
        <v>579</v>
      </c>
      <c r="C338" s="118"/>
      <c r="D338" s="118"/>
      <c r="F338" s="40">
        <v>10.6</v>
      </c>
      <c r="G338" s="38" t="s">
        <v>105</v>
      </c>
      <c r="H338" s="26" t="s">
        <v>269</v>
      </c>
      <c r="I338" s="40">
        <f>C11</f>
        <v>1005.1999999999999</v>
      </c>
      <c r="J338" s="26" t="s">
        <v>105</v>
      </c>
      <c r="K338" s="40">
        <f>(F338*I338)</f>
        <v>10655.119999999999</v>
      </c>
      <c r="M338" s="40">
        <v>0.5</v>
      </c>
      <c r="N338" s="26" t="s">
        <v>105</v>
      </c>
      <c r="O338" s="26" t="s">
        <v>271</v>
      </c>
      <c r="P338" s="40">
        <f>(C12)</f>
        <v>702.8</v>
      </c>
      <c r="Q338" s="26" t="s">
        <v>105</v>
      </c>
      <c r="R338" s="40">
        <f>(M338*P338)</f>
        <v>351.4</v>
      </c>
      <c r="S338" s="32">
        <v>10.6</v>
      </c>
      <c r="T338" s="28" t="s">
        <v>105</v>
      </c>
      <c r="U338" s="28" t="s">
        <v>269</v>
      </c>
      <c r="V338" s="28">
        <f>I338</f>
        <v>1005.1999999999999</v>
      </c>
      <c r="W338" s="28" t="s">
        <v>105</v>
      </c>
      <c r="X338" s="28">
        <f t="shared" si="27"/>
        <v>10655.119999999999</v>
      </c>
      <c r="AD338" s="40">
        <v>10.6</v>
      </c>
      <c r="AE338" s="38" t="s">
        <v>105</v>
      </c>
      <c r="AF338" s="26" t="s">
        <v>269</v>
      </c>
      <c r="AG338" s="40">
        <f>V338</f>
        <v>1005.1999999999999</v>
      </c>
      <c r="AH338" s="26" t="s">
        <v>105</v>
      </c>
      <c r="AI338" s="40">
        <f>AG338*AD338</f>
        <v>10655.119999999999</v>
      </c>
    </row>
    <row r="339" spans="1:35" ht="24" customHeight="1">
      <c r="A339" s="50">
        <f t="shared" si="25"/>
        <v>174</v>
      </c>
      <c r="B339" s="51" t="s">
        <v>561</v>
      </c>
      <c r="C339" s="115">
        <v>15.7</v>
      </c>
      <c r="D339" s="116" t="s">
        <v>196</v>
      </c>
      <c r="F339" s="40">
        <v>7.1</v>
      </c>
      <c r="G339" s="38" t="s">
        <v>105</v>
      </c>
      <c r="H339" s="26" t="s">
        <v>271</v>
      </c>
      <c r="I339" s="40">
        <f>C12</f>
        <v>702.8</v>
      </c>
      <c r="J339" s="26" t="s">
        <v>105</v>
      </c>
      <c r="K339" s="40">
        <f>(F339*I339)</f>
        <v>4989.8799999999992</v>
      </c>
      <c r="M339" s="40">
        <v>3.2</v>
      </c>
      <c r="N339" s="26" t="s">
        <v>105</v>
      </c>
      <c r="O339" s="26" t="s">
        <v>276</v>
      </c>
      <c r="P339" s="40">
        <f>(C13)</f>
        <v>576.79999999999995</v>
      </c>
      <c r="Q339" s="26" t="s">
        <v>105</v>
      </c>
      <c r="R339" s="40">
        <f>(M339*P339)</f>
        <v>1845.76</v>
      </c>
      <c r="S339" s="32">
        <v>7.1</v>
      </c>
      <c r="T339" s="28" t="s">
        <v>105</v>
      </c>
      <c r="U339" s="28" t="s">
        <v>271</v>
      </c>
      <c r="V339" s="28">
        <f>I339</f>
        <v>702.8</v>
      </c>
      <c r="W339" s="28" t="s">
        <v>105</v>
      </c>
      <c r="X339" s="28">
        <f t="shared" si="27"/>
        <v>4989.8799999999992</v>
      </c>
      <c r="AD339" s="40">
        <v>7.1</v>
      </c>
      <c r="AE339" s="38" t="s">
        <v>105</v>
      </c>
      <c r="AF339" s="26" t="s">
        <v>271</v>
      </c>
      <c r="AG339" s="40">
        <f>V339</f>
        <v>702.8</v>
      </c>
      <c r="AH339" s="26" t="s">
        <v>105</v>
      </c>
      <c r="AI339" s="40">
        <f>AG339*AD339</f>
        <v>4989.8799999999992</v>
      </c>
    </row>
    <row r="340" spans="1:35" ht="24" customHeight="1">
      <c r="A340" s="50">
        <f t="shared" si="25"/>
        <v>175</v>
      </c>
      <c r="B340" s="51" t="s">
        <v>562</v>
      </c>
      <c r="C340" s="115">
        <v>22.31</v>
      </c>
      <c r="D340" s="116" t="s">
        <v>196</v>
      </c>
      <c r="F340" s="40">
        <v>21.2</v>
      </c>
      <c r="G340" s="38" t="s">
        <v>105</v>
      </c>
      <c r="H340" s="26" t="s">
        <v>276</v>
      </c>
      <c r="I340" s="40">
        <f>C13</f>
        <v>576.79999999999995</v>
      </c>
      <c r="J340" s="26" t="s">
        <v>105</v>
      </c>
      <c r="K340" s="40">
        <f>(F340*I340)</f>
        <v>12228.159999999998</v>
      </c>
      <c r="N340" s="26" t="s">
        <v>106</v>
      </c>
      <c r="O340" s="26" t="s">
        <v>107</v>
      </c>
      <c r="P340" s="26" t="s">
        <v>27</v>
      </c>
      <c r="Q340" s="26" t="s">
        <v>106</v>
      </c>
      <c r="R340" s="40">
        <v>0</v>
      </c>
      <c r="S340" s="32">
        <v>21.2</v>
      </c>
      <c r="T340" s="28" t="s">
        <v>105</v>
      </c>
      <c r="U340" s="28" t="s">
        <v>276</v>
      </c>
      <c r="V340" s="28">
        <f>I340</f>
        <v>576.79999999999995</v>
      </c>
      <c r="W340" s="28" t="s">
        <v>105</v>
      </c>
      <c r="X340" s="28">
        <f t="shared" si="27"/>
        <v>12228.159999999998</v>
      </c>
      <c r="AD340" s="40">
        <v>21.2</v>
      </c>
      <c r="AE340" s="38" t="s">
        <v>105</v>
      </c>
      <c r="AF340" s="26" t="s">
        <v>276</v>
      </c>
      <c r="AG340" s="40">
        <f>V340</f>
        <v>576.79999999999995</v>
      </c>
      <c r="AH340" s="26" t="s">
        <v>105</v>
      </c>
      <c r="AI340" s="40">
        <f>AG340*AD340</f>
        <v>12228.159999999998</v>
      </c>
    </row>
    <row r="341" spans="1:35" ht="24" customHeight="1">
      <c r="A341" s="50">
        <f t="shared" si="25"/>
        <v>176</v>
      </c>
      <c r="B341" s="51" t="s">
        <v>564</v>
      </c>
      <c r="C341" s="115">
        <v>25.24</v>
      </c>
      <c r="D341" s="116" t="s">
        <v>196</v>
      </c>
      <c r="G341" s="38" t="s">
        <v>106</v>
      </c>
      <c r="H341" s="26" t="s">
        <v>107</v>
      </c>
      <c r="J341" s="26" t="s">
        <v>106</v>
      </c>
      <c r="K341" s="40">
        <v>0</v>
      </c>
      <c r="R341" s="35" t="s">
        <v>48</v>
      </c>
      <c r="T341" s="28" t="s">
        <v>106</v>
      </c>
      <c r="U341" s="28" t="s">
        <v>107</v>
      </c>
      <c r="W341" s="28" t="s">
        <v>106</v>
      </c>
      <c r="X341" s="28">
        <f t="shared" si="27"/>
        <v>0</v>
      </c>
      <c r="AE341" s="38" t="s">
        <v>106</v>
      </c>
      <c r="AF341" s="26" t="s">
        <v>107</v>
      </c>
      <c r="AH341" s="26" t="s">
        <v>106</v>
      </c>
      <c r="AI341" s="40">
        <v>0</v>
      </c>
    </row>
    <row r="342" spans="1:35" ht="24" customHeight="1">
      <c r="A342" s="50">
        <f t="shared" si="25"/>
        <v>177</v>
      </c>
      <c r="B342" s="51" t="s">
        <v>565</v>
      </c>
      <c r="C342" s="115">
        <v>52.34</v>
      </c>
      <c r="D342" s="116" t="s">
        <v>196</v>
      </c>
      <c r="K342" s="35" t="s">
        <v>48</v>
      </c>
      <c r="O342" s="26" t="s">
        <v>401</v>
      </c>
      <c r="R342" s="40">
        <f>SUM(R336:R340)</f>
        <v>5568.4488000000001</v>
      </c>
      <c r="X342" s="35" t="s">
        <v>48</v>
      </c>
      <c r="Y342" s="35"/>
      <c r="AE342" s="29"/>
      <c r="AH342" s="31"/>
      <c r="AI342" s="35" t="s">
        <v>48</v>
      </c>
    </row>
    <row r="343" spans="1:35" ht="24" customHeight="1">
      <c r="A343" s="50">
        <f t="shared" si="25"/>
        <v>178</v>
      </c>
      <c r="B343" s="51" t="s">
        <v>580</v>
      </c>
      <c r="C343" s="118"/>
      <c r="D343" s="118"/>
      <c r="H343" s="26" t="s">
        <v>280</v>
      </c>
      <c r="K343" s="40">
        <f>SUM(K335:K341)</f>
        <v>74825.079999999987</v>
      </c>
      <c r="R343" s="35" t="s">
        <v>48</v>
      </c>
      <c r="U343" s="28" t="s">
        <v>280</v>
      </c>
      <c r="X343" s="28">
        <f>SUM(X335:X342)</f>
        <v>81437.83</v>
      </c>
      <c r="AE343" s="29"/>
      <c r="AF343" s="26" t="s">
        <v>280</v>
      </c>
      <c r="AH343" s="31"/>
      <c r="AI343" s="40">
        <f>SUM(AI335:AI341)</f>
        <v>77031.087999999989</v>
      </c>
    </row>
    <row r="344" spans="1:35" ht="24" customHeight="1">
      <c r="A344" s="50">
        <f t="shared" si="25"/>
        <v>179</v>
      </c>
      <c r="B344" s="51" t="s">
        <v>561</v>
      </c>
      <c r="C344" s="115">
        <v>13.73</v>
      </c>
      <c r="D344" s="116" t="s">
        <v>196</v>
      </c>
      <c r="K344" s="35" t="s">
        <v>48</v>
      </c>
      <c r="O344" s="26" t="s">
        <v>403</v>
      </c>
      <c r="R344" s="40">
        <f>(R342/10)</f>
        <v>556.84487999999999</v>
      </c>
      <c r="X344" s="35" t="s">
        <v>48</v>
      </c>
      <c r="Y344" s="35"/>
      <c r="AE344" s="29"/>
      <c r="AH344" s="31"/>
      <c r="AI344" s="35" t="s">
        <v>48</v>
      </c>
    </row>
    <row r="345" spans="1:35" ht="24" customHeight="1">
      <c r="A345" s="50">
        <f t="shared" si="25"/>
        <v>180</v>
      </c>
      <c r="B345" s="51" t="s">
        <v>562</v>
      </c>
      <c r="C345" s="115">
        <v>20.16</v>
      </c>
      <c r="D345" s="116" t="s">
        <v>196</v>
      </c>
      <c r="H345" s="27" t="s">
        <v>201</v>
      </c>
      <c r="K345" s="40">
        <f>(K343/10)</f>
        <v>7482.5079999999989</v>
      </c>
      <c r="R345" s="35" t="s">
        <v>41</v>
      </c>
      <c r="U345" s="28" t="s">
        <v>201</v>
      </c>
      <c r="X345" s="28">
        <f>X343/10</f>
        <v>8143.7830000000004</v>
      </c>
      <c r="AE345" s="29"/>
      <c r="AF345" s="27" t="s">
        <v>201</v>
      </c>
      <c r="AH345" s="31"/>
      <c r="AI345" s="40">
        <f>(AI343/10)</f>
        <v>7703.1087999999991</v>
      </c>
    </row>
    <row r="346" spans="1:35" ht="24" customHeight="1">
      <c r="A346" s="50">
        <f t="shared" si="25"/>
        <v>181</v>
      </c>
      <c r="B346" s="51" t="s">
        <v>564</v>
      </c>
      <c r="C346" s="115">
        <v>22.73</v>
      </c>
      <c r="D346" s="116" t="s">
        <v>196</v>
      </c>
      <c r="K346" s="35" t="s">
        <v>41</v>
      </c>
      <c r="N346" s="26" t="s">
        <v>67</v>
      </c>
      <c r="O346" s="26" t="s">
        <v>581</v>
      </c>
      <c r="X346" s="80" t="s">
        <v>582</v>
      </c>
      <c r="Y346" s="80"/>
      <c r="AE346" s="29"/>
      <c r="AH346" s="31"/>
      <c r="AI346" s="35" t="s">
        <v>41</v>
      </c>
    </row>
    <row r="347" spans="1:35" ht="24" customHeight="1">
      <c r="A347" s="50">
        <f t="shared" ref="A347:A410" si="28">(A346+1)</f>
        <v>182</v>
      </c>
      <c r="B347" s="51" t="s">
        <v>565</v>
      </c>
      <c r="C347" s="115">
        <v>46.98</v>
      </c>
      <c r="D347" s="116" t="s">
        <v>27</v>
      </c>
      <c r="H347" s="26" t="s">
        <v>309</v>
      </c>
      <c r="K347" s="39">
        <f>(K345+C19)</f>
        <v>7565.387999999999</v>
      </c>
      <c r="L347" s="28">
        <f>K347-K345</f>
        <v>82.880000000000109</v>
      </c>
      <c r="O347" s="35" t="s">
        <v>48</v>
      </c>
      <c r="U347" s="41" t="s">
        <v>309</v>
      </c>
      <c r="X347" s="41">
        <f>X345+C19</f>
        <v>8226.6630000000005</v>
      </c>
      <c r="Y347" s="41"/>
      <c r="AE347" s="29"/>
      <c r="AF347" s="26" t="s">
        <v>309</v>
      </c>
      <c r="AH347" s="31"/>
      <c r="AI347" s="39">
        <f>(AI345+C19)</f>
        <v>7785.9887999999992</v>
      </c>
    </row>
    <row r="348" spans="1:35" ht="24" customHeight="1">
      <c r="A348" s="50">
        <f t="shared" si="28"/>
        <v>183</v>
      </c>
      <c r="B348" s="51" t="s">
        <v>583</v>
      </c>
      <c r="C348" s="118"/>
      <c r="D348" s="118"/>
      <c r="H348" s="26" t="s">
        <v>313</v>
      </c>
      <c r="K348" s="39">
        <f>(K347+C20)</f>
        <v>7732.4079999999994</v>
      </c>
      <c r="L348" s="28">
        <f>K348-K347</f>
        <v>167.02000000000044</v>
      </c>
      <c r="M348" s="40">
        <v>0.22</v>
      </c>
      <c r="N348" s="26" t="s">
        <v>93</v>
      </c>
      <c r="O348" s="26" t="s">
        <v>176</v>
      </c>
      <c r="P348" s="40">
        <f>(K32)</f>
        <v>5671.64</v>
      </c>
      <c r="Q348" s="26" t="s">
        <v>93</v>
      </c>
      <c r="R348" s="40">
        <f>(M348*P348)</f>
        <v>1247.7608</v>
      </c>
      <c r="U348" s="41" t="s">
        <v>313</v>
      </c>
      <c r="X348" s="41">
        <f>X347+C20</f>
        <v>8393.6830000000009</v>
      </c>
      <c r="Y348" s="41"/>
      <c r="AE348" s="29"/>
      <c r="AF348" s="26" t="s">
        <v>313</v>
      </c>
      <c r="AH348" s="31"/>
      <c r="AI348" s="39">
        <f>(AI347+C20)</f>
        <v>7953.0087999999996</v>
      </c>
    </row>
    <row r="349" spans="1:35" ht="24" customHeight="1">
      <c r="A349" s="50">
        <f t="shared" si="28"/>
        <v>184</v>
      </c>
      <c r="B349" s="51" t="s">
        <v>561</v>
      </c>
      <c r="C349" s="115">
        <v>19.3</v>
      </c>
      <c r="D349" s="116" t="s">
        <v>196</v>
      </c>
      <c r="H349" s="26" t="s">
        <v>316</v>
      </c>
      <c r="K349" s="39">
        <f>(K348+C20)</f>
        <v>7899.4279999999999</v>
      </c>
      <c r="L349" s="28">
        <f>K349-K348</f>
        <v>167.02000000000044</v>
      </c>
      <c r="M349" s="40">
        <v>2.2000000000000002</v>
      </c>
      <c r="N349" s="26" t="s">
        <v>105</v>
      </c>
      <c r="O349" s="26" t="s">
        <v>298</v>
      </c>
      <c r="P349" s="40">
        <f>(C10)</f>
        <v>1076.5999999999999</v>
      </c>
      <c r="Q349" s="26" t="s">
        <v>105</v>
      </c>
      <c r="R349" s="40">
        <f>(M349*P349)</f>
        <v>2368.52</v>
      </c>
      <c r="U349" s="41" t="s">
        <v>316</v>
      </c>
      <c r="X349" s="41">
        <f>X348+C20</f>
        <v>8560.7030000000013</v>
      </c>
      <c r="Y349" s="41"/>
      <c r="AE349" s="29"/>
      <c r="AF349" s="26" t="s">
        <v>316</v>
      </c>
      <c r="AH349" s="31"/>
      <c r="AI349" s="39">
        <f>(AI348+C20)</f>
        <v>8120.0288</v>
      </c>
    </row>
    <row r="350" spans="1:35" ht="24" customHeight="1">
      <c r="A350" s="50">
        <f t="shared" si="28"/>
        <v>185</v>
      </c>
      <c r="B350" s="51" t="s">
        <v>564</v>
      </c>
      <c r="C350" s="115">
        <v>33.46</v>
      </c>
      <c r="D350" s="116" t="s">
        <v>196</v>
      </c>
      <c r="H350" s="26" t="s">
        <v>318</v>
      </c>
      <c r="K350" s="39">
        <f>(K349+C21)</f>
        <v>8066.4480000000003</v>
      </c>
      <c r="M350" s="40">
        <v>0.5</v>
      </c>
      <c r="N350" s="26" t="s">
        <v>105</v>
      </c>
      <c r="O350" s="26" t="s">
        <v>271</v>
      </c>
      <c r="P350" s="40">
        <f>(C12)</f>
        <v>702.8</v>
      </c>
      <c r="Q350" s="26" t="s">
        <v>105</v>
      </c>
      <c r="R350" s="40">
        <f>(M350*P350)</f>
        <v>351.4</v>
      </c>
      <c r="U350" s="41" t="s">
        <v>318</v>
      </c>
      <c r="X350" s="41">
        <f>X349+C20</f>
        <v>8727.7230000000018</v>
      </c>
      <c r="Y350" s="41"/>
      <c r="AE350" s="29"/>
      <c r="AF350" s="26" t="s">
        <v>318</v>
      </c>
      <c r="AH350" s="31"/>
      <c r="AI350" s="39">
        <f>(AI349+C20)</f>
        <v>8287.0488000000005</v>
      </c>
    </row>
    <row r="351" spans="1:35" ht="24" customHeight="1">
      <c r="A351" s="50">
        <f t="shared" si="28"/>
        <v>186</v>
      </c>
      <c r="B351" s="51" t="s">
        <v>565</v>
      </c>
      <c r="C351" s="115">
        <v>53.62</v>
      </c>
      <c r="D351" s="116" t="s">
        <v>196</v>
      </c>
      <c r="F351" s="26" t="s">
        <v>27</v>
      </c>
      <c r="H351" s="26" t="s">
        <v>323</v>
      </c>
      <c r="K351" s="39">
        <f>(K350+C21)</f>
        <v>8233.4680000000008</v>
      </c>
      <c r="L351" s="28">
        <f>K351-K350</f>
        <v>167.02000000000044</v>
      </c>
      <c r="M351" s="40">
        <v>3.2</v>
      </c>
      <c r="N351" s="26" t="s">
        <v>105</v>
      </c>
      <c r="O351" s="26" t="s">
        <v>276</v>
      </c>
      <c r="P351" s="40">
        <f>(C13)</f>
        <v>576.79999999999995</v>
      </c>
      <c r="Q351" s="26" t="s">
        <v>105</v>
      </c>
      <c r="R351" s="40">
        <f>(M351*P351)</f>
        <v>1845.76</v>
      </c>
      <c r="S351" s="32" t="s">
        <v>27</v>
      </c>
      <c r="U351" s="41" t="s">
        <v>323</v>
      </c>
      <c r="X351" s="41">
        <f>X350+C20</f>
        <v>8894.7430000000022</v>
      </c>
      <c r="Y351" s="41"/>
      <c r="AD351" s="26" t="s">
        <v>27</v>
      </c>
      <c r="AE351" s="29"/>
      <c r="AF351" s="26" t="s">
        <v>323</v>
      </c>
      <c r="AH351" s="31"/>
      <c r="AI351" s="39">
        <f>(AI350+C20)</f>
        <v>8454.0688000000009</v>
      </c>
    </row>
    <row r="352" spans="1:35" ht="24" customHeight="1">
      <c r="A352" s="50">
        <f t="shared" si="28"/>
        <v>187</v>
      </c>
      <c r="B352" s="51" t="s">
        <v>584</v>
      </c>
      <c r="C352" s="118"/>
      <c r="D352" s="118"/>
      <c r="F352" s="64">
        <v>27</v>
      </c>
      <c r="G352" s="38" t="s">
        <v>67</v>
      </c>
      <c r="H352" s="26" t="s">
        <v>585</v>
      </c>
      <c r="L352" s="28">
        <f>K351+L351</f>
        <v>8400.4880000000012</v>
      </c>
      <c r="N352" s="26" t="s">
        <v>106</v>
      </c>
      <c r="O352" s="26" t="s">
        <v>107</v>
      </c>
      <c r="P352" s="26" t="s">
        <v>27</v>
      </c>
      <c r="Q352" s="26" t="s">
        <v>106</v>
      </c>
      <c r="R352" s="40">
        <v>0</v>
      </c>
      <c r="S352" s="32">
        <v>27</v>
      </c>
      <c r="T352" s="28" t="s">
        <v>67</v>
      </c>
      <c r="U352" s="28" t="s">
        <v>586</v>
      </c>
      <c r="AD352" s="26"/>
      <c r="AE352" s="29"/>
      <c r="AF352" s="26">
        <v>5</v>
      </c>
      <c r="AH352" s="31"/>
      <c r="AI352" s="39">
        <f>(AI351+C20)</f>
        <v>8621.0888000000014</v>
      </c>
    </row>
    <row r="353" spans="1:36" ht="24" customHeight="1">
      <c r="A353" s="50">
        <f t="shared" si="28"/>
        <v>188</v>
      </c>
      <c r="B353" s="51" t="s">
        <v>561</v>
      </c>
      <c r="C353" s="115">
        <v>13.73</v>
      </c>
      <c r="D353" s="116" t="s">
        <v>196</v>
      </c>
      <c r="H353" s="26" t="str">
        <f>H333</f>
        <v>Bricks of size 22x11x7 cm</v>
      </c>
      <c r="L353" s="28">
        <f>L352+L351</f>
        <v>8567.5080000000016</v>
      </c>
      <c r="R353" s="35" t="s">
        <v>48</v>
      </c>
      <c r="U353" s="28" t="s">
        <v>559</v>
      </c>
      <c r="AD353" s="26"/>
      <c r="AE353" s="29"/>
      <c r="AF353" s="26">
        <v>6</v>
      </c>
      <c r="AH353" s="31"/>
      <c r="AI353" s="39">
        <f>(AI352+C20)</f>
        <v>8788.1088000000018</v>
      </c>
    </row>
    <row r="354" spans="1:36" ht="24" customHeight="1">
      <c r="A354" s="50">
        <f t="shared" si="28"/>
        <v>189</v>
      </c>
      <c r="B354" s="51" t="s">
        <v>562</v>
      </c>
      <c r="C354" s="115">
        <v>20.16</v>
      </c>
      <c r="D354" s="116" t="s">
        <v>196</v>
      </c>
      <c r="H354" s="35" t="s">
        <v>48</v>
      </c>
      <c r="O354" s="26" t="s">
        <v>401</v>
      </c>
      <c r="R354" s="40">
        <f>SUM(R348:R352)</f>
        <v>5813.4408000000003</v>
      </c>
      <c r="U354" s="28" t="s">
        <v>48</v>
      </c>
      <c r="AD354" s="26"/>
      <c r="AE354" s="29"/>
      <c r="AF354" s="26">
        <v>7</v>
      </c>
      <c r="AH354" s="31"/>
      <c r="AI354" s="39">
        <f>(AI353+C20)</f>
        <v>8955.1288000000022</v>
      </c>
    </row>
    <row r="355" spans="1:36" ht="24" customHeight="1">
      <c r="A355" s="50">
        <f t="shared" si="28"/>
        <v>190</v>
      </c>
      <c r="B355" s="51" t="s">
        <v>564</v>
      </c>
      <c r="C355" s="115">
        <v>22.73</v>
      </c>
      <c r="D355" s="116" t="s">
        <v>196</v>
      </c>
      <c r="F355" s="40">
        <v>4800</v>
      </c>
      <c r="G355" s="38" t="s">
        <v>293</v>
      </c>
      <c r="H355" s="40" t="str">
        <f>H309</f>
        <v>Bricks of size 22x11x7 cm</v>
      </c>
      <c r="I355" s="40">
        <f>C80</f>
        <v>6767.65</v>
      </c>
      <c r="J355" s="26" t="s">
        <v>294</v>
      </c>
      <c r="K355" s="40">
        <f>(F355*I355)/1000</f>
        <v>32484.720000000001</v>
      </c>
      <c r="R355" s="35" t="s">
        <v>48</v>
      </c>
      <c r="S355" s="32">
        <v>4600</v>
      </c>
      <c r="T355" s="28" t="s">
        <v>293</v>
      </c>
      <c r="U355" s="28" t="s">
        <v>559</v>
      </c>
      <c r="V355" s="28">
        <f>AE41</f>
        <v>8499.4500000000007</v>
      </c>
      <c r="W355" s="28" t="s">
        <v>294</v>
      </c>
      <c r="X355" s="28">
        <f>V355*S355/1000</f>
        <v>39097.47</v>
      </c>
      <c r="AD355" s="26"/>
      <c r="AE355" s="29"/>
      <c r="AF355" s="26">
        <v>8</v>
      </c>
      <c r="AH355" s="31"/>
      <c r="AI355" s="39">
        <f>(AI354+C20)</f>
        <v>9122.1488000000027</v>
      </c>
    </row>
    <row r="356" spans="1:36" ht="24" customHeight="1">
      <c r="A356" s="50">
        <f t="shared" si="28"/>
        <v>191</v>
      </c>
      <c r="B356" s="51" t="s">
        <v>565</v>
      </c>
      <c r="C356" s="115">
        <v>46.98</v>
      </c>
      <c r="D356" s="116" t="s">
        <v>196</v>
      </c>
      <c r="F356" s="40">
        <v>2.5</v>
      </c>
      <c r="G356" s="38" t="s">
        <v>93</v>
      </c>
      <c r="H356" s="26" t="s">
        <v>218</v>
      </c>
      <c r="I356" s="40">
        <f>K40</f>
        <v>4975.6400000000003</v>
      </c>
      <c r="J356" s="26" t="s">
        <v>93</v>
      </c>
      <c r="K356" s="40">
        <f>(F356*I356)</f>
        <v>12439.1</v>
      </c>
      <c r="O356" s="26" t="s">
        <v>403</v>
      </c>
      <c r="R356" s="40">
        <f>(R354/10)</f>
        <v>581.34408000000008</v>
      </c>
      <c r="S356" s="32">
        <v>2.5</v>
      </c>
      <c r="T356" s="28" t="s">
        <v>93</v>
      </c>
      <c r="U356" s="28" t="s">
        <v>218</v>
      </c>
      <c r="V356" s="28">
        <f>I356</f>
        <v>4975.6400000000003</v>
      </c>
      <c r="W356" s="28" t="s">
        <v>93</v>
      </c>
      <c r="X356" s="28">
        <f>V356*S356</f>
        <v>12439.1</v>
      </c>
      <c r="AD356" s="26"/>
      <c r="AE356" s="29"/>
      <c r="AF356" s="26">
        <v>9</v>
      </c>
      <c r="AH356" s="31"/>
      <c r="AI356" s="39">
        <f>(AI355+C20)</f>
        <v>9289.1688000000031</v>
      </c>
    </row>
    <row r="357" spans="1:36" ht="24" customHeight="1">
      <c r="A357" s="50">
        <f t="shared" si="28"/>
        <v>192</v>
      </c>
      <c r="B357" s="51" t="s">
        <v>587</v>
      </c>
      <c r="C357" s="118"/>
      <c r="D357" s="118"/>
      <c r="F357" s="40">
        <v>3.5</v>
      </c>
      <c r="G357" s="38" t="s">
        <v>105</v>
      </c>
      <c r="H357" s="26" t="s">
        <v>298</v>
      </c>
      <c r="I357" s="40">
        <f>(C10)</f>
        <v>1076.5999999999999</v>
      </c>
      <c r="J357" s="26" t="s">
        <v>105</v>
      </c>
      <c r="K357" s="40">
        <f>(F357*I357)</f>
        <v>3768.0999999999995</v>
      </c>
      <c r="R357" s="35" t="s">
        <v>41</v>
      </c>
      <c r="S357" s="32">
        <v>3.5</v>
      </c>
      <c r="T357" s="28" t="s">
        <v>105</v>
      </c>
      <c r="U357" s="28" t="s">
        <v>298</v>
      </c>
      <c r="V357" s="28">
        <f>I357</f>
        <v>1076.5999999999999</v>
      </c>
      <c r="W357" s="28" t="s">
        <v>105</v>
      </c>
      <c r="X357" s="28">
        <f>V357*S357</f>
        <v>3768.0999999999995</v>
      </c>
      <c r="AD357" s="26"/>
      <c r="AE357" s="29"/>
      <c r="AF357" s="26">
        <v>10</v>
      </c>
      <c r="AH357" s="31"/>
      <c r="AI357" s="39">
        <f>(AI356+C20)</f>
        <v>9456.1888000000035</v>
      </c>
    </row>
    <row r="358" spans="1:36" ht="24" customHeight="1">
      <c r="A358" s="50">
        <f t="shared" si="28"/>
        <v>193</v>
      </c>
      <c r="B358" s="51" t="s">
        <v>561</v>
      </c>
      <c r="C358" s="115">
        <v>19.3</v>
      </c>
      <c r="D358" s="116" t="s">
        <v>196</v>
      </c>
      <c r="F358" s="40">
        <v>10.6</v>
      </c>
      <c r="G358" s="38" t="s">
        <v>105</v>
      </c>
      <c r="H358" s="26" t="s">
        <v>269</v>
      </c>
      <c r="I358" s="40">
        <f>(C11)</f>
        <v>1005.1999999999999</v>
      </c>
      <c r="J358" s="26" t="s">
        <v>105</v>
      </c>
      <c r="K358" s="40">
        <f>(F358*I358)</f>
        <v>10655.119999999999</v>
      </c>
      <c r="N358" s="26" t="s">
        <v>67</v>
      </c>
      <c r="O358" s="26" t="s">
        <v>588</v>
      </c>
      <c r="S358" s="32">
        <v>10.6</v>
      </c>
      <c r="T358" s="28" t="s">
        <v>105</v>
      </c>
      <c r="U358" s="28" t="s">
        <v>269</v>
      </c>
      <c r="V358" s="28">
        <f>I358</f>
        <v>1005.1999999999999</v>
      </c>
      <c r="W358" s="28" t="s">
        <v>105</v>
      </c>
      <c r="X358" s="28">
        <f>V358*S358</f>
        <v>10655.119999999999</v>
      </c>
      <c r="AD358" s="26"/>
      <c r="AE358" s="29"/>
      <c r="AF358" s="26">
        <v>11</v>
      </c>
      <c r="AH358" s="31"/>
      <c r="AI358" s="39">
        <f>(AI357+C20)</f>
        <v>9623.208800000004</v>
      </c>
    </row>
    <row r="359" spans="1:36" ht="24" customHeight="1">
      <c r="A359" s="50">
        <f t="shared" si="28"/>
        <v>194</v>
      </c>
      <c r="B359" s="51" t="s">
        <v>562</v>
      </c>
      <c r="C359" s="115">
        <v>25.74</v>
      </c>
      <c r="D359" s="116" t="s">
        <v>196</v>
      </c>
      <c r="F359" s="40">
        <v>7.1</v>
      </c>
      <c r="G359" s="38" t="s">
        <v>105</v>
      </c>
      <c r="H359" s="26" t="s">
        <v>271</v>
      </c>
      <c r="I359" s="40">
        <f>(C12)</f>
        <v>702.8</v>
      </c>
      <c r="J359" s="26" t="s">
        <v>105</v>
      </c>
      <c r="K359" s="40">
        <f>(F359*I359)</f>
        <v>4989.8799999999992</v>
      </c>
      <c r="O359" s="26" t="s">
        <v>589</v>
      </c>
      <c r="S359" s="32">
        <v>7.1</v>
      </c>
      <c r="T359" s="28" t="s">
        <v>105</v>
      </c>
      <c r="U359" s="28" t="s">
        <v>271</v>
      </c>
      <c r="V359" s="28">
        <f>I359</f>
        <v>702.8</v>
      </c>
      <c r="W359" s="28" t="s">
        <v>105</v>
      </c>
      <c r="X359" s="28">
        <f>V359*S359</f>
        <v>4989.8799999999992</v>
      </c>
      <c r="AD359" s="26"/>
      <c r="AE359" s="29"/>
      <c r="AF359" s="26">
        <v>12</v>
      </c>
      <c r="AH359" s="31"/>
      <c r="AI359" s="39">
        <f>(AI358+C20)</f>
        <v>9790.2288000000044</v>
      </c>
    </row>
    <row r="360" spans="1:36" ht="24" customHeight="1">
      <c r="A360" s="50">
        <f t="shared" si="28"/>
        <v>195</v>
      </c>
      <c r="B360" s="51" t="s">
        <v>564</v>
      </c>
      <c r="C360" s="115">
        <v>33.46</v>
      </c>
      <c r="D360" s="116" t="s">
        <v>196</v>
      </c>
      <c r="F360" s="40">
        <v>21.2</v>
      </c>
      <c r="G360" s="38" t="s">
        <v>105</v>
      </c>
      <c r="H360" s="26" t="s">
        <v>276</v>
      </c>
      <c r="I360" s="40">
        <f>(C13)</f>
        <v>576.79999999999995</v>
      </c>
      <c r="J360" s="26" t="s">
        <v>105</v>
      </c>
      <c r="K360" s="40">
        <f>(F360*I360)</f>
        <v>12228.159999999998</v>
      </c>
      <c r="O360" s="26" t="s">
        <v>590</v>
      </c>
      <c r="S360" s="32">
        <v>21.2</v>
      </c>
      <c r="T360" s="28" t="s">
        <v>105</v>
      </c>
      <c r="U360" s="28" t="s">
        <v>276</v>
      </c>
      <c r="V360" s="28">
        <f>I360</f>
        <v>576.79999999999995</v>
      </c>
      <c r="W360" s="28" t="s">
        <v>105</v>
      </c>
      <c r="X360" s="28">
        <f>V360*S360</f>
        <v>12228.159999999998</v>
      </c>
      <c r="AD360" s="26"/>
      <c r="AE360" s="29"/>
      <c r="AF360" s="26">
        <v>13</v>
      </c>
      <c r="AH360" s="31"/>
      <c r="AI360" s="39">
        <f>(AI359+C20)</f>
        <v>9957.2488000000048</v>
      </c>
    </row>
    <row r="361" spans="1:36" ht="24" customHeight="1">
      <c r="A361" s="50">
        <f t="shared" si="28"/>
        <v>196</v>
      </c>
      <c r="B361" s="51" t="s">
        <v>565</v>
      </c>
      <c r="C361" s="115">
        <v>53.62</v>
      </c>
      <c r="D361" s="116" t="s">
        <v>27</v>
      </c>
      <c r="G361" s="38" t="s">
        <v>106</v>
      </c>
      <c r="H361" s="26" t="s">
        <v>107</v>
      </c>
      <c r="J361" s="26" t="s">
        <v>106</v>
      </c>
      <c r="K361" s="40">
        <v>0</v>
      </c>
      <c r="O361" s="35" t="s">
        <v>48</v>
      </c>
      <c r="T361" s="28" t="s">
        <v>106</v>
      </c>
      <c r="U361" s="28" t="s">
        <v>107</v>
      </c>
      <c r="W361" s="28" t="s">
        <v>106</v>
      </c>
      <c r="X361" s="28">
        <v>0</v>
      </c>
      <c r="AD361" s="64">
        <v>27</v>
      </c>
      <c r="AE361" s="38" t="s">
        <v>67</v>
      </c>
      <c r="AF361" s="26" t="s">
        <v>591</v>
      </c>
      <c r="AH361" s="31"/>
    </row>
    <row r="362" spans="1:36" ht="24" customHeight="1">
      <c r="A362" s="50">
        <f t="shared" si="28"/>
        <v>197</v>
      </c>
      <c r="B362" s="51" t="s">
        <v>592</v>
      </c>
      <c r="C362" s="118"/>
      <c r="D362" s="118"/>
      <c r="K362" s="35" t="s">
        <v>48</v>
      </c>
      <c r="M362" s="40">
        <v>0.22</v>
      </c>
      <c r="N362" s="26" t="s">
        <v>93</v>
      </c>
      <c r="O362" s="26" t="s">
        <v>218</v>
      </c>
      <c r="P362" s="40">
        <f>(K40)</f>
        <v>4975.6400000000003</v>
      </c>
      <c r="Q362" s="26" t="s">
        <v>93</v>
      </c>
      <c r="R362" s="40">
        <f t="shared" ref="R362:R367" si="29">(M362*P362)</f>
        <v>1094.6408000000001</v>
      </c>
      <c r="X362" s="35" t="s">
        <v>48</v>
      </c>
      <c r="Y362" s="35"/>
      <c r="AE362" s="29"/>
      <c r="AF362" s="26" t="str">
        <f>AF333</f>
        <v>Bricks of size 23x11.4x7.5 cm</v>
      </c>
      <c r="AH362" s="31"/>
    </row>
    <row r="363" spans="1:36" ht="24" customHeight="1">
      <c r="A363" s="50">
        <f t="shared" si="28"/>
        <v>198</v>
      </c>
      <c r="B363" s="51" t="s">
        <v>561</v>
      </c>
      <c r="C363" s="115">
        <v>26.16</v>
      </c>
      <c r="D363" s="116" t="s">
        <v>196</v>
      </c>
      <c r="H363" s="26" t="s">
        <v>280</v>
      </c>
      <c r="K363" s="40">
        <f>SUM(K355:K361)</f>
        <v>76565.079999999987</v>
      </c>
      <c r="M363" s="40">
        <v>2.2000000000000002</v>
      </c>
      <c r="N363" s="26" t="s">
        <v>105</v>
      </c>
      <c r="O363" s="26" t="s">
        <v>298</v>
      </c>
      <c r="P363" s="40">
        <f>(C10)</f>
        <v>1076.5999999999999</v>
      </c>
      <c r="Q363" s="26" t="s">
        <v>105</v>
      </c>
      <c r="R363" s="40">
        <f t="shared" si="29"/>
        <v>2368.52</v>
      </c>
      <c r="U363" s="28" t="s">
        <v>280</v>
      </c>
      <c r="X363" s="28">
        <f>SUM(X355:X361)</f>
        <v>83177.83</v>
      </c>
      <c r="AE363" s="29"/>
      <c r="AF363" s="35" t="s">
        <v>48</v>
      </c>
      <c r="AH363" s="31"/>
    </row>
    <row r="364" spans="1:36" ht="24" customHeight="1">
      <c r="A364" s="50">
        <f t="shared" si="28"/>
        <v>199</v>
      </c>
      <c r="B364" s="51" t="s">
        <v>562</v>
      </c>
      <c r="C364" s="115">
        <v>34.32</v>
      </c>
      <c r="D364" s="116" t="s">
        <v>196</v>
      </c>
      <c r="K364" s="35" t="s">
        <v>48</v>
      </c>
      <c r="M364" s="40">
        <v>0.5</v>
      </c>
      <c r="N364" s="26" t="s">
        <v>105</v>
      </c>
      <c r="O364" s="26" t="s">
        <v>271</v>
      </c>
      <c r="P364" s="40">
        <f>(C12)</f>
        <v>702.8</v>
      </c>
      <c r="Q364" s="26" t="s">
        <v>105</v>
      </c>
      <c r="R364" s="40">
        <f t="shared" si="29"/>
        <v>351.4</v>
      </c>
      <c r="X364" s="35" t="s">
        <v>48</v>
      </c>
      <c r="Y364" s="35"/>
      <c r="AD364" s="40">
        <v>4240</v>
      </c>
      <c r="AE364" s="38" t="s">
        <v>293</v>
      </c>
      <c r="AF364" s="40" t="str">
        <f>AF309</f>
        <v>Bricks of size 23x11.4x7.5 cm</v>
      </c>
      <c r="AG364" s="40">
        <f>AE42</f>
        <v>8686.4500000000007</v>
      </c>
      <c r="AH364" s="26" t="s">
        <v>294</v>
      </c>
      <c r="AI364" s="40">
        <f>(AD364*AG364)/1000</f>
        <v>36830.548000000003</v>
      </c>
    </row>
    <row r="365" spans="1:36" ht="24" customHeight="1">
      <c r="A365" s="50">
        <f t="shared" si="28"/>
        <v>200</v>
      </c>
      <c r="B365" s="51" t="s">
        <v>564</v>
      </c>
      <c r="C365" s="115">
        <v>40.33</v>
      </c>
      <c r="D365" s="116" t="s">
        <v>196</v>
      </c>
      <c r="H365" s="26" t="s">
        <v>201</v>
      </c>
      <c r="K365" s="40">
        <f>(K363/10)</f>
        <v>7656.5079999999989</v>
      </c>
      <c r="M365" s="40">
        <v>1.1000000000000001</v>
      </c>
      <c r="N365" s="26" t="s">
        <v>593</v>
      </c>
      <c r="O365" s="26" t="s">
        <v>594</v>
      </c>
      <c r="P365" s="40">
        <f>(C10)</f>
        <v>1076.5999999999999</v>
      </c>
      <c r="Q365" s="26" t="s">
        <v>105</v>
      </c>
      <c r="R365" s="40">
        <f t="shared" si="29"/>
        <v>1184.26</v>
      </c>
      <c r="U365" s="28" t="s">
        <v>201</v>
      </c>
      <c r="X365" s="28">
        <f>X363/10</f>
        <v>8317.7829999999994</v>
      </c>
      <c r="AD365" s="40">
        <v>2</v>
      </c>
      <c r="AE365" s="38" t="s">
        <v>93</v>
      </c>
      <c r="AF365" s="26" t="s">
        <v>218</v>
      </c>
      <c r="AG365" s="40">
        <f>V356</f>
        <v>4975.6400000000003</v>
      </c>
      <c r="AH365" s="26" t="s">
        <v>93</v>
      </c>
      <c r="AI365" s="40">
        <f>(AD365*AG365)</f>
        <v>9951.2800000000007</v>
      </c>
    </row>
    <row r="366" spans="1:36" ht="24" customHeight="1">
      <c r="A366" s="50">
        <f t="shared" si="28"/>
        <v>201</v>
      </c>
      <c r="B366" s="51" t="s">
        <v>595</v>
      </c>
      <c r="C366" s="118"/>
      <c r="D366" s="116" t="s">
        <v>27</v>
      </c>
      <c r="K366" s="35" t="s">
        <v>41</v>
      </c>
      <c r="M366" s="40">
        <v>3.2</v>
      </c>
      <c r="N366" s="26" t="s">
        <v>105</v>
      </c>
      <c r="O366" s="26" t="s">
        <v>276</v>
      </c>
      <c r="P366" s="40">
        <f>(C13)</f>
        <v>576.79999999999995</v>
      </c>
      <c r="Q366" s="26" t="s">
        <v>105</v>
      </c>
      <c r="R366" s="40">
        <f t="shared" si="29"/>
        <v>1845.76</v>
      </c>
      <c r="X366" s="80" t="s">
        <v>582</v>
      </c>
      <c r="Y366" s="80"/>
      <c r="AD366" s="40">
        <v>3.5</v>
      </c>
      <c r="AE366" s="38" t="s">
        <v>105</v>
      </c>
      <c r="AF366" s="26" t="s">
        <v>298</v>
      </c>
      <c r="AG366" s="40">
        <f>V357</f>
        <v>1076.5999999999999</v>
      </c>
      <c r="AH366" s="26" t="s">
        <v>105</v>
      </c>
      <c r="AI366" s="40">
        <f>(AD366*AG366)</f>
        <v>3768.0999999999995</v>
      </c>
    </row>
    <row r="367" spans="1:36" ht="24" customHeight="1">
      <c r="A367" s="50">
        <f t="shared" si="28"/>
        <v>202</v>
      </c>
      <c r="B367" s="51" t="s">
        <v>561</v>
      </c>
      <c r="C367" s="115">
        <v>20.329999999999998</v>
      </c>
      <c r="D367" s="116" t="s">
        <v>196</v>
      </c>
      <c r="H367" s="26" t="s">
        <v>309</v>
      </c>
      <c r="J367" s="31">
        <f>K367-K365</f>
        <v>82.880000000000109</v>
      </c>
      <c r="K367" s="40">
        <f>(K365+C19)</f>
        <v>7739.387999999999</v>
      </c>
      <c r="M367" s="40">
        <v>9.8000000000000007</v>
      </c>
      <c r="N367" s="26" t="s">
        <v>392</v>
      </c>
      <c r="O367" s="26" t="s">
        <v>596</v>
      </c>
      <c r="P367" s="40">
        <f>(C148)</f>
        <v>142.4</v>
      </c>
      <c r="Q367" s="26" t="s">
        <v>392</v>
      </c>
      <c r="R367" s="40">
        <f t="shared" si="29"/>
        <v>1395.5200000000002</v>
      </c>
      <c r="U367" s="28" t="s">
        <v>309</v>
      </c>
      <c r="X367" s="28">
        <f>X365+C19</f>
        <v>8400.6629999999986</v>
      </c>
      <c r="Z367" s="28">
        <f>X365+X367+X368+X369+X370+X371</f>
        <v>51991.297999999995</v>
      </c>
      <c r="AA367" s="28">
        <f>Z367/6</f>
        <v>8665.2163333333319</v>
      </c>
      <c r="AD367" s="40">
        <v>10.6</v>
      </c>
      <c r="AE367" s="38" t="s">
        <v>105</v>
      </c>
      <c r="AF367" s="26" t="s">
        <v>269</v>
      </c>
      <c r="AG367" s="40">
        <f>V358</f>
        <v>1005.1999999999999</v>
      </c>
      <c r="AH367" s="26" t="s">
        <v>105</v>
      </c>
      <c r="AI367" s="40">
        <f>(AD367*AG367)</f>
        <v>10655.119999999999</v>
      </c>
    </row>
    <row r="368" spans="1:36" ht="24" customHeight="1">
      <c r="A368" s="50">
        <f t="shared" si="28"/>
        <v>203</v>
      </c>
      <c r="B368" s="51" t="s">
        <v>562</v>
      </c>
      <c r="C368" s="115">
        <v>26.6</v>
      </c>
      <c r="D368" s="116" t="s">
        <v>196</v>
      </c>
      <c r="H368" s="26" t="s">
        <v>313</v>
      </c>
      <c r="J368" s="31">
        <f>K368-K367</f>
        <v>167.02000000000044</v>
      </c>
      <c r="K368" s="40">
        <f>(K367+C20)</f>
        <v>7906.4079999999994</v>
      </c>
      <c r="L368" s="28">
        <f>(K367+K368)/2</f>
        <v>7822.8979999999992</v>
      </c>
      <c r="N368" s="26" t="s">
        <v>106</v>
      </c>
      <c r="O368" s="26" t="s">
        <v>107</v>
      </c>
      <c r="P368" s="26" t="s">
        <v>27</v>
      </c>
      <c r="Q368" s="26" t="s">
        <v>106</v>
      </c>
      <c r="R368" s="40">
        <v>0</v>
      </c>
      <c r="U368" s="28" t="s">
        <v>313</v>
      </c>
      <c r="X368" s="28">
        <f>X367+C20</f>
        <v>8567.6829999999991</v>
      </c>
      <c r="Z368" s="28">
        <f>SUM(X367:X368)/2</f>
        <v>8484.1729999999989</v>
      </c>
      <c r="AD368" s="40">
        <v>7.1</v>
      </c>
      <c r="AE368" s="38" t="s">
        <v>105</v>
      </c>
      <c r="AF368" s="26" t="s">
        <v>271</v>
      </c>
      <c r="AG368" s="40">
        <f>V359</f>
        <v>702.8</v>
      </c>
      <c r="AH368" s="26" t="s">
        <v>105</v>
      </c>
      <c r="AI368" s="40">
        <f>(AD368*AG368)</f>
        <v>4989.8799999999992</v>
      </c>
      <c r="AJ368" s="28">
        <f>(AI377+AI376)/2</f>
        <v>8008.6988000000001</v>
      </c>
    </row>
    <row r="369" spans="1:36" ht="24" customHeight="1">
      <c r="A369" s="50">
        <f t="shared" si="28"/>
        <v>204</v>
      </c>
      <c r="B369" s="51" t="s">
        <v>564</v>
      </c>
      <c r="C369" s="115">
        <v>33.89</v>
      </c>
      <c r="D369" s="116" t="s">
        <v>196</v>
      </c>
      <c r="H369" s="26" t="s">
        <v>316</v>
      </c>
      <c r="J369" s="31">
        <f>K369-K368</f>
        <v>167.02000000000044</v>
      </c>
      <c r="K369" s="40">
        <f>(K368+C21)</f>
        <v>8073.4279999999999</v>
      </c>
      <c r="L369" s="28">
        <f>SUM(K367:K369)/3</f>
        <v>7906.4079999999994</v>
      </c>
      <c r="R369" s="35" t="s">
        <v>48</v>
      </c>
      <c r="U369" s="28" t="s">
        <v>316</v>
      </c>
      <c r="X369" s="28">
        <f>X368+C20</f>
        <v>8734.7029999999995</v>
      </c>
      <c r="Z369" s="28">
        <f>SUM(X367:X369)/3</f>
        <v>8567.6829999999991</v>
      </c>
      <c r="AD369" s="40">
        <v>21.2</v>
      </c>
      <c r="AE369" s="38" t="s">
        <v>105</v>
      </c>
      <c r="AF369" s="26" t="s">
        <v>276</v>
      </c>
      <c r="AG369" s="40">
        <f>V360</f>
        <v>576.79999999999995</v>
      </c>
      <c r="AH369" s="26" t="s">
        <v>105</v>
      </c>
      <c r="AI369" s="40">
        <f>(AD369*AG369)</f>
        <v>12228.159999999998</v>
      </c>
      <c r="AJ369" s="28">
        <f>SUM(AI376:AI378)/3</f>
        <v>8092.2088000000003</v>
      </c>
    </row>
    <row r="370" spans="1:36" ht="24" customHeight="1">
      <c r="A370" s="50">
        <f t="shared" si="28"/>
        <v>205</v>
      </c>
      <c r="B370" s="51" t="s">
        <v>597</v>
      </c>
      <c r="C370" s="118"/>
      <c r="D370" s="118"/>
      <c r="H370" s="26" t="s">
        <v>318</v>
      </c>
      <c r="J370" s="31">
        <f>K370-K369</f>
        <v>167.02000000000044</v>
      </c>
      <c r="K370" s="40">
        <f>K369+C21</f>
        <v>8240.4480000000003</v>
      </c>
      <c r="O370" s="26" t="s">
        <v>401</v>
      </c>
      <c r="R370" s="40">
        <f>SUM(R362:R368)</f>
        <v>8240.1008000000002</v>
      </c>
      <c r="U370" s="28" t="s">
        <v>318</v>
      </c>
      <c r="X370" s="28">
        <f>X369+C20</f>
        <v>8901.723</v>
      </c>
      <c r="AE370" s="38" t="s">
        <v>106</v>
      </c>
      <c r="AF370" s="26" t="s">
        <v>107</v>
      </c>
      <c r="AH370" s="26" t="s">
        <v>106</v>
      </c>
      <c r="AI370" s="40">
        <v>0</v>
      </c>
    </row>
    <row r="371" spans="1:36" ht="24" customHeight="1">
      <c r="A371" s="50">
        <f t="shared" si="28"/>
        <v>206</v>
      </c>
      <c r="B371" s="51" t="s">
        <v>561</v>
      </c>
      <c r="C371" s="115">
        <v>13.29</v>
      </c>
      <c r="D371" s="116" t="s">
        <v>196</v>
      </c>
      <c r="H371" s="26" t="s">
        <v>323</v>
      </c>
      <c r="J371" s="31">
        <f>K371-K370</f>
        <v>167.02000000000044</v>
      </c>
      <c r="K371" s="40">
        <f>K370+C21</f>
        <v>8407.4680000000008</v>
      </c>
      <c r="R371" s="35" t="s">
        <v>48</v>
      </c>
      <c r="U371" s="28" t="s">
        <v>323</v>
      </c>
      <c r="X371" s="28">
        <f>X370+C20</f>
        <v>9068.7430000000004</v>
      </c>
      <c r="AE371" s="29"/>
      <c r="AH371" s="31"/>
      <c r="AI371" s="35" t="s">
        <v>48</v>
      </c>
    </row>
    <row r="372" spans="1:36" ht="24" customHeight="1">
      <c r="A372" s="50">
        <f t="shared" si="28"/>
        <v>207</v>
      </c>
      <c r="B372" s="51" t="s">
        <v>562</v>
      </c>
      <c r="C372" s="115">
        <v>18.02</v>
      </c>
      <c r="D372" s="116" t="s">
        <v>196</v>
      </c>
      <c r="H372" s="26" t="s">
        <v>362</v>
      </c>
      <c r="J372" s="31">
        <f>SUM(K367+K368+K369)/3</f>
        <v>7906.4079999999994</v>
      </c>
      <c r="K372" s="40">
        <f>(K367+K368+K369+K370)/4</f>
        <v>7989.9179999999997</v>
      </c>
      <c r="O372" s="26" t="s">
        <v>403</v>
      </c>
      <c r="R372" s="40">
        <f>(R370/10)</f>
        <v>824.01008000000002</v>
      </c>
      <c r="U372" s="28" t="s">
        <v>362</v>
      </c>
      <c r="W372" s="28">
        <v>2171.31</v>
      </c>
      <c r="X372" s="28">
        <f>SUM(X367:X370)/4</f>
        <v>8651.1929999999993</v>
      </c>
      <c r="AE372" s="29"/>
      <c r="AF372" s="26" t="s">
        <v>280</v>
      </c>
      <c r="AH372" s="31"/>
      <c r="AI372" s="40">
        <f>SUM(AI364:AI370)</f>
        <v>78423.088000000003</v>
      </c>
    </row>
    <row r="373" spans="1:36" ht="24" customHeight="1">
      <c r="A373" s="50">
        <f t="shared" si="28"/>
        <v>208</v>
      </c>
      <c r="B373" s="51" t="s">
        <v>564</v>
      </c>
      <c r="C373" s="115">
        <v>23.17</v>
      </c>
      <c r="D373" s="116" t="s">
        <v>196</v>
      </c>
      <c r="R373" s="35" t="s">
        <v>41</v>
      </c>
      <c r="AE373" s="29"/>
      <c r="AH373" s="31"/>
      <c r="AI373" s="35" t="s">
        <v>48</v>
      </c>
    </row>
    <row r="374" spans="1:36" ht="24" customHeight="1">
      <c r="A374" s="50">
        <f t="shared" si="28"/>
        <v>209</v>
      </c>
      <c r="B374" s="51" t="s">
        <v>598</v>
      </c>
      <c r="C374" s="118"/>
      <c r="D374" s="116" t="s">
        <v>27</v>
      </c>
      <c r="H374" s="27" t="s">
        <v>365</v>
      </c>
      <c r="N374" s="26" t="s">
        <v>67</v>
      </c>
      <c r="O374" s="26" t="s">
        <v>599</v>
      </c>
      <c r="U374" s="28" t="s">
        <v>365</v>
      </c>
      <c r="AE374" s="29"/>
      <c r="AF374" s="26" t="s">
        <v>201</v>
      </c>
      <c r="AH374" s="31"/>
      <c r="AI374" s="40">
        <f>(AI372/10)</f>
        <v>7842.3088000000007</v>
      </c>
    </row>
    <row r="375" spans="1:36" ht="24" customHeight="1">
      <c r="A375" s="50">
        <f t="shared" si="28"/>
        <v>210</v>
      </c>
      <c r="B375" s="51" t="s">
        <v>561</v>
      </c>
      <c r="C375" s="115">
        <v>9</v>
      </c>
      <c r="D375" s="116" t="s">
        <v>196</v>
      </c>
      <c r="H375" s="35" t="s">
        <v>48</v>
      </c>
      <c r="O375" s="35" t="s">
        <v>48</v>
      </c>
      <c r="U375" s="28" t="s">
        <v>48</v>
      </c>
      <c r="AE375" s="29"/>
      <c r="AH375" s="31"/>
      <c r="AI375" s="35" t="s">
        <v>41</v>
      </c>
    </row>
    <row r="376" spans="1:36" ht="24" customHeight="1">
      <c r="A376" s="50">
        <f t="shared" si="28"/>
        <v>211</v>
      </c>
      <c r="B376" s="51" t="s">
        <v>562</v>
      </c>
      <c r="C376" s="115">
        <v>11.58</v>
      </c>
      <c r="D376" s="116" t="s">
        <v>196</v>
      </c>
      <c r="F376" s="64">
        <v>10</v>
      </c>
      <c r="G376" s="38" t="s">
        <v>67</v>
      </c>
      <c r="H376" s="26" t="s">
        <v>600</v>
      </c>
      <c r="M376" s="40">
        <v>0.05</v>
      </c>
      <c r="N376" s="26" t="s">
        <v>93</v>
      </c>
      <c r="O376" s="26" t="s">
        <v>335</v>
      </c>
      <c r="P376" s="40">
        <f>(C84)</f>
        <v>1297</v>
      </c>
      <c r="Q376" s="26" t="s">
        <v>93</v>
      </c>
      <c r="R376" s="40">
        <f>(M376*P376)</f>
        <v>64.850000000000009</v>
      </c>
      <c r="S376" s="32">
        <v>10</v>
      </c>
      <c r="T376" s="28" t="s">
        <v>67</v>
      </c>
      <c r="U376" s="28" t="s">
        <v>601</v>
      </c>
      <c r="AE376" s="29"/>
      <c r="AF376" s="26" t="s">
        <v>309</v>
      </c>
      <c r="AH376" s="31"/>
      <c r="AI376" s="40">
        <f>(AI374+C19)</f>
        <v>7925.1888000000008</v>
      </c>
    </row>
    <row r="377" spans="1:36" ht="24" customHeight="1">
      <c r="A377" s="50">
        <f t="shared" si="28"/>
        <v>212</v>
      </c>
      <c r="B377" s="51" t="s">
        <v>564</v>
      </c>
      <c r="C377" s="115">
        <v>14.15</v>
      </c>
      <c r="D377" s="116" t="s">
        <v>196</v>
      </c>
      <c r="H377" s="40" t="str">
        <f>H309</f>
        <v>Bricks of size 22x11x7 cm</v>
      </c>
      <c r="M377" s="40">
        <v>1.1000000000000001</v>
      </c>
      <c r="N377" s="26" t="s">
        <v>105</v>
      </c>
      <c r="O377" s="26" t="s">
        <v>269</v>
      </c>
      <c r="P377" s="40">
        <f>(C11)</f>
        <v>1005.1999999999999</v>
      </c>
      <c r="Q377" s="26" t="s">
        <v>105</v>
      </c>
      <c r="R377" s="40">
        <f>(M377*P377)</f>
        <v>1105.72</v>
      </c>
      <c r="U377" s="28" t="s">
        <v>559</v>
      </c>
      <c r="AE377" s="29"/>
      <c r="AF377" s="26" t="s">
        <v>313</v>
      </c>
      <c r="AH377" s="31"/>
      <c r="AI377" s="40">
        <f>(AI376+C20)</f>
        <v>8092.2088000000003</v>
      </c>
    </row>
    <row r="378" spans="1:36" ht="24" customHeight="1">
      <c r="A378" s="50">
        <f t="shared" si="28"/>
        <v>213</v>
      </c>
      <c r="B378" s="51" t="s">
        <v>602</v>
      </c>
      <c r="C378" s="118"/>
      <c r="D378" s="118"/>
      <c r="H378" s="35" t="s">
        <v>48</v>
      </c>
      <c r="M378" s="40">
        <v>0.3</v>
      </c>
      <c r="N378" s="26" t="s">
        <v>105</v>
      </c>
      <c r="O378" s="26" t="s">
        <v>271</v>
      </c>
      <c r="P378" s="40">
        <f>(C12)</f>
        <v>702.8</v>
      </c>
      <c r="Q378" s="26" t="s">
        <v>105</v>
      </c>
      <c r="R378" s="40">
        <f>(M378*P378)</f>
        <v>210.83999999999997</v>
      </c>
      <c r="U378" s="28" t="s">
        <v>48</v>
      </c>
      <c r="AE378" s="29"/>
      <c r="AF378" s="26" t="s">
        <v>316</v>
      </c>
      <c r="AH378" s="31"/>
      <c r="AI378" s="40">
        <f>(AI377+C20)</f>
        <v>8259.2288000000008</v>
      </c>
    </row>
    <row r="379" spans="1:36" ht="24" customHeight="1">
      <c r="A379" s="50">
        <f t="shared" si="28"/>
        <v>214</v>
      </c>
      <c r="B379" s="51" t="s">
        <v>561</v>
      </c>
      <c r="C379" s="115">
        <v>4.29</v>
      </c>
      <c r="D379" s="116" t="s">
        <v>196</v>
      </c>
      <c r="F379" s="40">
        <f>F311</f>
        <v>4800</v>
      </c>
      <c r="G379" s="38" t="s">
        <v>293</v>
      </c>
      <c r="H379" s="40" t="str">
        <f>H309</f>
        <v>Bricks of size 22x11x7 cm</v>
      </c>
      <c r="I379" s="40">
        <f>(C80)</f>
        <v>6767.65</v>
      </c>
      <c r="J379" s="26" t="s">
        <v>294</v>
      </c>
      <c r="K379" s="40">
        <f>(F379*I379)/1000</f>
        <v>32484.720000000001</v>
      </c>
      <c r="M379" s="40">
        <v>1.9</v>
      </c>
      <c r="N379" s="26" t="s">
        <v>105</v>
      </c>
      <c r="O379" s="26" t="s">
        <v>276</v>
      </c>
      <c r="P379" s="40">
        <f>(C13)</f>
        <v>576.79999999999995</v>
      </c>
      <c r="Q379" s="26" t="s">
        <v>105</v>
      </c>
      <c r="R379" s="40">
        <f>(M379*P379)</f>
        <v>1095.9199999999998</v>
      </c>
      <c r="S379" s="32">
        <v>4600</v>
      </c>
      <c r="T379" s="28" t="s">
        <v>293</v>
      </c>
      <c r="U379" s="28" t="s">
        <v>559</v>
      </c>
      <c r="V379" s="28">
        <f>AE41</f>
        <v>8499.4500000000007</v>
      </c>
      <c r="W379" s="28" t="s">
        <v>294</v>
      </c>
      <c r="X379" s="28">
        <f>S379*V379/1000</f>
        <v>39097.47</v>
      </c>
      <c r="AE379" s="29"/>
      <c r="AF379" s="26" t="s">
        <v>318</v>
      </c>
      <c r="AH379" s="31"/>
      <c r="AI379" s="40">
        <f>AI378+C20</f>
        <v>8426.2488000000012</v>
      </c>
    </row>
    <row r="380" spans="1:36" ht="24" customHeight="1">
      <c r="A380" s="50">
        <f t="shared" si="28"/>
        <v>215</v>
      </c>
      <c r="B380" s="51" t="s">
        <v>562</v>
      </c>
      <c r="C380" s="115">
        <v>6.01</v>
      </c>
      <c r="D380" s="116" t="s">
        <v>196</v>
      </c>
      <c r="F380" s="40">
        <v>1.59</v>
      </c>
      <c r="G380" s="38" t="s">
        <v>93</v>
      </c>
      <c r="H380" s="26" t="s">
        <v>218</v>
      </c>
      <c r="I380" s="40">
        <f>(K40)</f>
        <v>4975.6400000000003</v>
      </c>
      <c r="J380" s="26" t="s">
        <v>93</v>
      </c>
      <c r="K380" s="40">
        <f>(F380*I380)</f>
        <v>7911.267600000001</v>
      </c>
      <c r="N380" s="26" t="s">
        <v>106</v>
      </c>
      <c r="O380" s="26" t="s">
        <v>603</v>
      </c>
      <c r="P380" s="26" t="s">
        <v>27</v>
      </c>
      <c r="Q380" s="26" t="s">
        <v>106</v>
      </c>
      <c r="R380" s="40">
        <v>1.46</v>
      </c>
      <c r="S380" s="32">
        <v>1.59</v>
      </c>
      <c r="T380" s="28" t="s">
        <v>93</v>
      </c>
      <c r="U380" s="28" t="s">
        <v>218</v>
      </c>
      <c r="V380" s="28">
        <f>I380</f>
        <v>4975.6400000000003</v>
      </c>
      <c r="W380" s="28" t="s">
        <v>93</v>
      </c>
      <c r="X380" s="28">
        <f>V380*S380</f>
        <v>7911.267600000001</v>
      </c>
      <c r="AE380" s="29"/>
      <c r="AF380" s="26" t="s">
        <v>323</v>
      </c>
      <c r="AH380" s="31"/>
      <c r="AI380" s="40">
        <f>AI379+C20</f>
        <v>8593.2688000000016</v>
      </c>
    </row>
    <row r="381" spans="1:36" ht="24" customHeight="1">
      <c r="A381" s="50">
        <f t="shared" si="28"/>
        <v>216</v>
      </c>
      <c r="B381" s="51" t="s">
        <v>564</v>
      </c>
      <c r="C381" s="115">
        <v>6.86</v>
      </c>
      <c r="D381" s="116" t="s">
        <v>196</v>
      </c>
      <c r="F381" s="40">
        <v>7</v>
      </c>
      <c r="G381" s="38" t="s">
        <v>105</v>
      </c>
      <c r="H381" s="26" t="s">
        <v>298</v>
      </c>
      <c r="I381" s="40">
        <f>(C10)</f>
        <v>1076.5999999999999</v>
      </c>
      <c r="J381" s="26" t="s">
        <v>105</v>
      </c>
      <c r="K381" s="40">
        <f>(F381*I381)</f>
        <v>7536.1999999999989</v>
      </c>
      <c r="R381" s="35" t="s">
        <v>48</v>
      </c>
      <c r="S381" s="32">
        <v>7</v>
      </c>
      <c r="T381" s="28" t="s">
        <v>105</v>
      </c>
      <c r="U381" s="28" t="s">
        <v>298</v>
      </c>
      <c r="V381" s="28">
        <f>I381</f>
        <v>1076.5999999999999</v>
      </c>
      <c r="W381" s="28" t="s">
        <v>105</v>
      </c>
      <c r="X381" s="28">
        <f>V381*S381</f>
        <v>7536.1999999999989</v>
      </c>
      <c r="AE381" s="29"/>
      <c r="AF381" s="26" t="s">
        <v>362</v>
      </c>
      <c r="AH381" s="31"/>
      <c r="AI381" s="40">
        <f>(AI376+AI377+AI378+AI379)/4</f>
        <v>8175.7188000000006</v>
      </c>
    </row>
    <row r="382" spans="1:36" ht="24" customHeight="1">
      <c r="A382" s="50">
        <f t="shared" si="28"/>
        <v>217</v>
      </c>
      <c r="B382" s="51" t="s">
        <v>604</v>
      </c>
      <c r="C382" s="118"/>
      <c r="D382" s="116" t="s">
        <v>27</v>
      </c>
      <c r="F382" s="40">
        <v>7.1</v>
      </c>
      <c r="G382" s="38" t="s">
        <v>105</v>
      </c>
      <c r="H382" s="26" t="s">
        <v>269</v>
      </c>
      <c r="I382" s="40">
        <f>(C11)</f>
        <v>1005.1999999999999</v>
      </c>
      <c r="J382" s="26" t="s">
        <v>105</v>
      </c>
      <c r="K382" s="40">
        <f>(F382*I382)</f>
        <v>7136.9199999999992</v>
      </c>
      <c r="O382" s="26" t="s">
        <v>605</v>
      </c>
      <c r="R382" s="40">
        <f>SUM(R375:R380)</f>
        <v>2478.79</v>
      </c>
      <c r="S382" s="32">
        <v>7.1</v>
      </c>
      <c r="T382" s="28" t="s">
        <v>105</v>
      </c>
      <c r="U382" s="28" t="s">
        <v>269</v>
      </c>
      <c r="V382" s="28">
        <f>I382</f>
        <v>1005.1999999999999</v>
      </c>
      <c r="W382" s="28" t="s">
        <v>105</v>
      </c>
      <c r="X382" s="28">
        <f>V382*S382</f>
        <v>7136.9199999999992</v>
      </c>
      <c r="AE382" s="29"/>
      <c r="AH382" s="31"/>
    </row>
    <row r="383" spans="1:36" ht="24" customHeight="1">
      <c r="A383" s="50">
        <f t="shared" si="28"/>
        <v>218</v>
      </c>
      <c r="B383" s="51" t="s">
        <v>561</v>
      </c>
      <c r="C383" s="115">
        <v>14.91</v>
      </c>
      <c r="D383" s="116" t="s">
        <v>196</v>
      </c>
      <c r="F383" s="40">
        <v>7.1</v>
      </c>
      <c r="G383" s="38" t="s">
        <v>105</v>
      </c>
      <c r="H383" s="26" t="s">
        <v>271</v>
      </c>
      <c r="I383" s="40">
        <f>(C12)</f>
        <v>702.8</v>
      </c>
      <c r="J383" s="26" t="s">
        <v>105</v>
      </c>
      <c r="K383" s="40">
        <f>(F383*I383)</f>
        <v>4989.8799999999992</v>
      </c>
      <c r="R383" s="35" t="s">
        <v>48</v>
      </c>
      <c r="S383" s="32">
        <v>7.1</v>
      </c>
      <c r="T383" s="28" t="s">
        <v>105</v>
      </c>
      <c r="U383" s="28" t="s">
        <v>271</v>
      </c>
      <c r="V383" s="28">
        <f>I383</f>
        <v>702.8</v>
      </c>
      <c r="W383" s="28" t="s">
        <v>105</v>
      </c>
      <c r="X383" s="28">
        <f>V383*S383</f>
        <v>4989.8799999999992</v>
      </c>
      <c r="AE383" s="29"/>
      <c r="AF383" s="27" t="s">
        <v>365</v>
      </c>
      <c r="AH383" s="31"/>
    </row>
    <row r="384" spans="1:36" ht="24" customHeight="1">
      <c r="A384" s="50">
        <f t="shared" si="28"/>
        <v>219</v>
      </c>
      <c r="B384" s="51" t="s">
        <v>562</v>
      </c>
      <c r="C384" s="115">
        <v>17.579999999999998</v>
      </c>
      <c r="D384" s="116" t="s">
        <v>196</v>
      </c>
      <c r="F384" s="40">
        <v>21.2</v>
      </c>
      <c r="G384" s="38" t="s">
        <v>105</v>
      </c>
      <c r="H384" s="26" t="s">
        <v>276</v>
      </c>
      <c r="I384" s="40">
        <f>(C13)</f>
        <v>576.79999999999995</v>
      </c>
      <c r="J384" s="26" t="s">
        <v>105</v>
      </c>
      <c r="K384" s="40">
        <f>(F384*I384)</f>
        <v>12228.159999999998</v>
      </c>
      <c r="O384" s="26" t="s">
        <v>403</v>
      </c>
      <c r="R384" s="40">
        <f>(R382/100)</f>
        <v>24.7879</v>
      </c>
      <c r="S384" s="32">
        <v>21.2</v>
      </c>
      <c r="T384" s="28" t="s">
        <v>105</v>
      </c>
      <c r="U384" s="28" t="s">
        <v>276</v>
      </c>
      <c r="V384" s="28">
        <f>I384</f>
        <v>576.79999999999995</v>
      </c>
      <c r="W384" s="28" t="s">
        <v>105</v>
      </c>
      <c r="X384" s="28">
        <f>V384*S384</f>
        <v>12228.159999999998</v>
      </c>
      <c r="AE384" s="29"/>
      <c r="AF384" s="35" t="s">
        <v>48</v>
      </c>
      <c r="AH384" s="31"/>
    </row>
    <row r="385" spans="1:35" ht="24" customHeight="1">
      <c r="A385" s="50">
        <f t="shared" si="28"/>
        <v>220</v>
      </c>
      <c r="B385" s="51" t="s">
        <v>564</v>
      </c>
      <c r="C385" s="115">
        <v>19.3</v>
      </c>
      <c r="D385" s="116" t="s">
        <v>196</v>
      </c>
      <c r="G385" s="38" t="s">
        <v>106</v>
      </c>
      <c r="H385" s="26" t="s">
        <v>107</v>
      </c>
      <c r="I385" s="26" t="s">
        <v>27</v>
      </c>
      <c r="J385" s="26" t="s">
        <v>106</v>
      </c>
      <c r="K385" s="40">
        <v>0</v>
      </c>
      <c r="R385" s="35" t="s">
        <v>41</v>
      </c>
      <c r="T385" s="28" t="s">
        <v>106</v>
      </c>
      <c r="U385" s="28" t="s">
        <v>107</v>
      </c>
      <c r="V385" s="28" t="s">
        <v>27</v>
      </c>
      <c r="W385" s="28" t="s">
        <v>106</v>
      </c>
      <c r="X385" s="28">
        <v>0</v>
      </c>
      <c r="AD385" s="64">
        <v>10</v>
      </c>
      <c r="AE385" s="38" t="s">
        <v>67</v>
      </c>
      <c r="AF385" s="26" t="s">
        <v>606</v>
      </c>
      <c r="AH385" s="31"/>
    </row>
    <row r="386" spans="1:35" ht="24" customHeight="1">
      <c r="A386" s="50">
        <f t="shared" si="28"/>
        <v>221</v>
      </c>
      <c r="B386" s="51" t="s">
        <v>607</v>
      </c>
      <c r="C386" s="118"/>
      <c r="D386" s="118"/>
      <c r="K386" s="35" t="s">
        <v>48</v>
      </c>
      <c r="X386" s="80" t="s">
        <v>608</v>
      </c>
      <c r="Y386" s="80"/>
      <c r="AE386" s="29"/>
      <c r="AF386" s="40" t="str">
        <f>AF309</f>
        <v>Bricks of size 23x11.4x7.5 cm</v>
      </c>
      <c r="AH386" s="31"/>
    </row>
    <row r="387" spans="1:35" ht="24" customHeight="1">
      <c r="A387" s="50">
        <f t="shared" si="28"/>
        <v>222</v>
      </c>
      <c r="B387" s="51" t="s">
        <v>561</v>
      </c>
      <c r="C387" s="115">
        <v>15.87</v>
      </c>
      <c r="D387" s="116" t="s">
        <v>196</v>
      </c>
      <c r="H387" s="26" t="s">
        <v>280</v>
      </c>
      <c r="K387" s="40">
        <f>SUM(K379:K385)</f>
        <v>72287.147599999997</v>
      </c>
      <c r="U387" s="28" t="s">
        <v>280</v>
      </c>
      <c r="X387" s="28">
        <f>SUM(X379:X386)</f>
        <v>78899.897599999997</v>
      </c>
      <c r="AE387" s="29"/>
      <c r="AF387" s="35" t="s">
        <v>48</v>
      </c>
      <c r="AH387" s="31"/>
    </row>
    <row r="388" spans="1:35" ht="24" customHeight="1">
      <c r="A388" s="50">
        <f t="shared" si="28"/>
        <v>223</v>
      </c>
      <c r="B388" s="51" t="s">
        <v>562</v>
      </c>
      <c r="C388" s="115">
        <v>20.16</v>
      </c>
      <c r="D388" s="116" t="s">
        <v>196</v>
      </c>
      <c r="K388" s="35" t="s">
        <v>48</v>
      </c>
      <c r="N388" s="26" t="s">
        <v>386</v>
      </c>
      <c r="O388" s="26" t="s">
        <v>609</v>
      </c>
      <c r="X388" s="80" t="s">
        <v>608</v>
      </c>
      <c r="Y388" s="80"/>
      <c r="AD388" s="40">
        <f>AD311</f>
        <v>4240</v>
      </c>
      <c r="AE388" s="38" t="s">
        <v>293</v>
      </c>
      <c r="AF388" s="40" t="str">
        <f>AF309</f>
        <v>Bricks of size 23x11.4x7.5 cm</v>
      </c>
      <c r="AG388" s="40">
        <f>AE42</f>
        <v>8686.4500000000007</v>
      </c>
      <c r="AH388" s="26" t="s">
        <v>294</v>
      </c>
      <c r="AI388" s="40">
        <f>(AD388*AG388)/1000</f>
        <v>36830.548000000003</v>
      </c>
    </row>
    <row r="389" spans="1:35" ht="24" customHeight="1">
      <c r="A389" s="50">
        <f t="shared" si="28"/>
        <v>224</v>
      </c>
      <c r="B389" s="51" t="s">
        <v>564</v>
      </c>
      <c r="C389" s="115">
        <v>22.31</v>
      </c>
      <c r="D389" s="116" t="s">
        <v>196</v>
      </c>
      <c r="H389" s="26" t="s">
        <v>201</v>
      </c>
      <c r="K389" s="40">
        <f>(K387/10)</f>
        <v>7228.7147599999998</v>
      </c>
      <c r="O389" s="35" t="s">
        <v>48</v>
      </c>
      <c r="U389" s="28" t="s">
        <v>201</v>
      </c>
      <c r="X389" s="28">
        <f>X387/10</f>
        <v>7889.9897599999995</v>
      </c>
      <c r="AD389" s="40">
        <v>1.27</v>
      </c>
      <c r="AE389" s="38" t="s">
        <v>93</v>
      </c>
      <c r="AF389" s="26" t="s">
        <v>218</v>
      </c>
      <c r="AG389" s="40">
        <f>V380</f>
        <v>4975.6400000000003</v>
      </c>
      <c r="AH389" s="26" t="s">
        <v>93</v>
      </c>
      <c r="AI389" s="40">
        <f>(AD389*AG389)</f>
        <v>6319.0628000000006</v>
      </c>
    </row>
    <row r="390" spans="1:35" ht="24" customHeight="1">
      <c r="A390" s="50">
        <f t="shared" si="28"/>
        <v>225</v>
      </c>
      <c r="B390" s="51" t="s">
        <v>610</v>
      </c>
      <c r="C390" s="114"/>
      <c r="D390" s="113" t="s">
        <v>27</v>
      </c>
      <c r="K390" s="35" t="s">
        <v>41</v>
      </c>
      <c r="M390" s="40">
        <v>7.0000000000000007E-2</v>
      </c>
      <c r="N390" s="26" t="s">
        <v>93</v>
      </c>
      <c r="O390" s="26" t="s">
        <v>335</v>
      </c>
      <c r="P390" s="40">
        <f>(C84)</f>
        <v>1297</v>
      </c>
      <c r="Q390" s="26" t="s">
        <v>93</v>
      </c>
      <c r="R390" s="40">
        <f>(M390*P390)</f>
        <v>90.79</v>
      </c>
      <c r="X390" s="80" t="s">
        <v>611</v>
      </c>
      <c r="Y390" s="80"/>
      <c r="AD390" s="40">
        <v>7</v>
      </c>
      <c r="AE390" s="38" t="s">
        <v>105</v>
      </c>
      <c r="AF390" s="26" t="s">
        <v>298</v>
      </c>
      <c r="AG390" s="40">
        <f>V381</f>
        <v>1076.5999999999999</v>
      </c>
      <c r="AH390" s="26" t="s">
        <v>105</v>
      </c>
      <c r="AI390" s="40">
        <f>(AD390*AG390)</f>
        <v>7536.1999999999989</v>
      </c>
    </row>
    <row r="391" spans="1:35" ht="24" customHeight="1">
      <c r="A391" s="50">
        <f t="shared" si="28"/>
        <v>226</v>
      </c>
      <c r="B391" s="51" t="s">
        <v>612</v>
      </c>
      <c r="C391" s="49">
        <v>69.8</v>
      </c>
      <c r="D391" s="51" t="s">
        <v>244</v>
      </c>
      <c r="M391" s="40">
        <v>1.6</v>
      </c>
      <c r="N391" s="26" t="s">
        <v>105</v>
      </c>
      <c r="O391" s="26" t="s">
        <v>269</v>
      </c>
      <c r="P391" s="40">
        <f>(C11)</f>
        <v>1005.1999999999999</v>
      </c>
      <c r="Q391" s="26" t="s">
        <v>105</v>
      </c>
      <c r="R391" s="40">
        <f>(M391*P391)</f>
        <v>1608.32</v>
      </c>
      <c r="AD391" s="40">
        <v>7.1</v>
      </c>
      <c r="AE391" s="38" t="s">
        <v>105</v>
      </c>
      <c r="AF391" s="26" t="s">
        <v>269</v>
      </c>
      <c r="AG391" s="40">
        <f>V382</f>
        <v>1005.1999999999999</v>
      </c>
      <c r="AH391" s="26" t="s">
        <v>105</v>
      </c>
      <c r="AI391" s="40">
        <f>(AD391*AG391)</f>
        <v>7136.9199999999992</v>
      </c>
    </row>
    <row r="392" spans="1:35" ht="24" customHeight="1">
      <c r="A392" s="50">
        <f t="shared" si="28"/>
        <v>227</v>
      </c>
      <c r="B392" s="51" t="s">
        <v>613</v>
      </c>
      <c r="C392" s="49">
        <v>98.6</v>
      </c>
      <c r="D392" s="51" t="s">
        <v>244</v>
      </c>
      <c r="G392" s="38" t="s">
        <v>386</v>
      </c>
      <c r="H392" s="26" t="s">
        <v>387</v>
      </c>
      <c r="M392" s="40">
        <v>0.5</v>
      </c>
      <c r="N392" s="26" t="s">
        <v>105</v>
      </c>
      <c r="O392" s="26" t="s">
        <v>271</v>
      </c>
      <c r="P392" s="40">
        <f>(C12)</f>
        <v>702.8</v>
      </c>
      <c r="Q392" s="26" t="s">
        <v>105</v>
      </c>
      <c r="R392" s="40">
        <f>(M392*P392)</f>
        <v>351.4</v>
      </c>
      <c r="T392" s="28" t="s">
        <v>386</v>
      </c>
      <c r="U392" s="28" t="s">
        <v>614</v>
      </c>
      <c r="AD392" s="40">
        <v>7.1</v>
      </c>
      <c r="AE392" s="38" t="s">
        <v>105</v>
      </c>
      <c r="AF392" s="26" t="s">
        <v>271</v>
      </c>
      <c r="AG392" s="40">
        <f>V383</f>
        <v>702.8</v>
      </c>
      <c r="AH392" s="26" t="s">
        <v>105</v>
      </c>
      <c r="AI392" s="40">
        <f>(AD392*AG392)</f>
        <v>4989.8799999999992</v>
      </c>
    </row>
    <row r="393" spans="1:35" ht="24" customHeight="1">
      <c r="A393" s="50">
        <f t="shared" si="28"/>
        <v>228</v>
      </c>
      <c r="B393" s="51" t="s">
        <v>615</v>
      </c>
      <c r="C393" s="49">
        <v>128</v>
      </c>
      <c r="D393" s="51" t="s">
        <v>244</v>
      </c>
      <c r="H393" s="35" t="s">
        <v>48</v>
      </c>
      <c r="M393" s="40">
        <v>2.7</v>
      </c>
      <c r="N393" s="26" t="s">
        <v>105</v>
      </c>
      <c r="O393" s="26" t="s">
        <v>276</v>
      </c>
      <c r="P393" s="40">
        <f>(C13)</f>
        <v>576.79999999999995</v>
      </c>
      <c r="Q393" s="26" t="s">
        <v>105</v>
      </c>
      <c r="R393" s="40">
        <f>(M393*P393)</f>
        <v>1557.36</v>
      </c>
      <c r="U393" s="28" t="s">
        <v>48</v>
      </c>
      <c r="AD393" s="40">
        <v>21.2</v>
      </c>
      <c r="AE393" s="38" t="s">
        <v>105</v>
      </c>
      <c r="AF393" s="26" t="s">
        <v>276</v>
      </c>
      <c r="AG393" s="40">
        <f>V384</f>
        <v>576.79999999999995</v>
      </c>
      <c r="AH393" s="26" t="s">
        <v>105</v>
      </c>
      <c r="AI393" s="40">
        <f>(AD393*AG393)</f>
        <v>12228.159999999998</v>
      </c>
    </row>
    <row r="394" spans="1:35" ht="24" customHeight="1">
      <c r="A394" s="50">
        <f t="shared" si="28"/>
        <v>229</v>
      </c>
      <c r="B394" s="51" t="s">
        <v>616</v>
      </c>
      <c r="C394" s="49">
        <v>151.4</v>
      </c>
      <c r="D394" s="51" t="s">
        <v>244</v>
      </c>
      <c r="F394" s="40">
        <v>1.1000000000000001</v>
      </c>
      <c r="G394" s="38" t="s">
        <v>93</v>
      </c>
      <c r="H394" s="26" t="s">
        <v>394</v>
      </c>
      <c r="I394" s="40">
        <f>(K389)</f>
        <v>7228.7147599999998</v>
      </c>
      <c r="J394" s="26" t="s">
        <v>93</v>
      </c>
      <c r="K394" s="40">
        <f>(F394*I394)</f>
        <v>7951.5862360000001</v>
      </c>
      <c r="N394" s="26" t="s">
        <v>106</v>
      </c>
      <c r="O394" s="26" t="s">
        <v>603</v>
      </c>
      <c r="P394" s="26" t="s">
        <v>27</v>
      </c>
      <c r="Q394" s="26" t="s">
        <v>106</v>
      </c>
      <c r="R394" s="40">
        <v>2.09</v>
      </c>
      <c r="S394" s="32">
        <v>1.1200000000000001</v>
      </c>
      <c r="T394" s="28" t="s">
        <v>93</v>
      </c>
      <c r="U394" s="28" t="s">
        <v>394</v>
      </c>
      <c r="V394" s="28">
        <f>X389</f>
        <v>7889.9897599999995</v>
      </c>
      <c r="W394" s="28" t="s">
        <v>93</v>
      </c>
      <c r="X394" s="28">
        <f>V394*S394</f>
        <v>8836.7885311999999</v>
      </c>
      <c r="AE394" s="38" t="s">
        <v>106</v>
      </c>
      <c r="AF394" s="26" t="s">
        <v>107</v>
      </c>
      <c r="AG394" s="26" t="s">
        <v>27</v>
      </c>
      <c r="AH394" s="26" t="s">
        <v>106</v>
      </c>
      <c r="AI394" s="40">
        <v>0</v>
      </c>
    </row>
    <row r="395" spans="1:35" ht="24" customHeight="1">
      <c r="A395" s="50">
        <f t="shared" si="28"/>
        <v>230</v>
      </c>
      <c r="B395" s="51" t="s">
        <v>617</v>
      </c>
      <c r="C395" s="49">
        <v>163</v>
      </c>
      <c r="D395" s="51" t="s">
        <v>244</v>
      </c>
      <c r="F395" s="40">
        <v>1</v>
      </c>
      <c r="G395" s="38" t="s">
        <v>196</v>
      </c>
      <c r="H395" s="26" t="s">
        <v>298</v>
      </c>
      <c r="I395" s="40">
        <f>(C10)</f>
        <v>1076.5999999999999</v>
      </c>
      <c r="J395" s="26" t="s">
        <v>105</v>
      </c>
      <c r="K395" s="40">
        <f>(F395*I395)</f>
        <v>1076.5999999999999</v>
      </c>
      <c r="R395" s="35" t="s">
        <v>48</v>
      </c>
      <c r="S395" s="32">
        <v>1</v>
      </c>
      <c r="T395" s="28" t="s">
        <v>196</v>
      </c>
      <c r="U395" s="28" t="s">
        <v>298</v>
      </c>
      <c r="V395" s="28">
        <f>I395</f>
        <v>1076.5999999999999</v>
      </c>
      <c r="W395" s="28" t="s">
        <v>105</v>
      </c>
      <c r="X395" s="28">
        <f>V395*S395</f>
        <v>1076.5999999999999</v>
      </c>
      <c r="AE395" s="29"/>
      <c r="AH395" s="31"/>
      <c r="AI395" s="35" t="s">
        <v>48</v>
      </c>
    </row>
    <row r="396" spans="1:35" ht="24" customHeight="1">
      <c r="A396" s="50">
        <f t="shared" si="28"/>
        <v>231</v>
      </c>
      <c r="B396" s="51" t="s">
        <v>561</v>
      </c>
      <c r="C396" s="49">
        <v>209</v>
      </c>
      <c r="D396" s="51" t="s">
        <v>244</v>
      </c>
      <c r="G396" s="38" t="s">
        <v>106</v>
      </c>
      <c r="H396" s="26" t="s">
        <v>107</v>
      </c>
      <c r="I396" s="26" t="s">
        <v>27</v>
      </c>
      <c r="J396" s="26" t="s">
        <v>106</v>
      </c>
      <c r="K396" s="40">
        <v>0</v>
      </c>
      <c r="O396" s="26" t="s">
        <v>605</v>
      </c>
      <c r="R396" s="40">
        <f>SUM(R389:R394)</f>
        <v>3609.96</v>
      </c>
      <c r="T396" s="28" t="s">
        <v>106</v>
      </c>
      <c r="U396" s="28" t="s">
        <v>107</v>
      </c>
      <c r="V396" s="28" t="s">
        <v>27</v>
      </c>
      <c r="W396" s="28" t="s">
        <v>106</v>
      </c>
      <c r="X396" s="28">
        <v>0</v>
      </c>
      <c r="AE396" s="29"/>
      <c r="AF396" s="26" t="s">
        <v>280</v>
      </c>
      <c r="AH396" s="31"/>
      <c r="AI396" s="40">
        <f>SUM(AI388:AI394)</f>
        <v>75040.770799999998</v>
      </c>
    </row>
    <row r="397" spans="1:35" ht="24" customHeight="1">
      <c r="A397" s="50">
        <f t="shared" si="28"/>
        <v>232</v>
      </c>
      <c r="B397" s="51" t="s">
        <v>618</v>
      </c>
      <c r="C397" s="49">
        <v>244.4</v>
      </c>
      <c r="D397" s="51" t="s">
        <v>244</v>
      </c>
      <c r="K397" s="35" t="s">
        <v>48</v>
      </c>
      <c r="R397" s="35" t="s">
        <v>48</v>
      </c>
      <c r="X397" s="80" t="s">
        <v>608</v>
      </c>
      <c r="Y397" s="80"/>
      <c r="AE397" s="29"/>
      <c r="AH397" s="31"/>
      <c r="AI397" s="35" t="s">
        <v>48</v>
      </c>
    </row>
    <row r="398" spans="1:35" ht="24" customHeight="1">
      <c r="A398" s="50">
        <f t="shared" si="28"/>
        <v>233</v>
      </c>
      <c r="B398" s="51" t="s">
        <v>619</v>
      </c>
      <c r="C398" s="66"/>
      <c r="D398" s="66"/>
      <c r="H398" s="26" t="s">
        <v>401</v>
      </c>
      <c r="K398" s="40">
        <f>SUM(K394:K396)</f>
        <v>9028.1862359999996</v>
      </c>
      <c r="O398" s="26" t="s">
        <v>403</v>
      </c>
      <c r="R398" s="40">
        <f>(R396/100)</f>
        <v>36.099600000000002</v>
      </c>
      <c r="U398" s="28" t="s">
        <v>401</v>
      </c>
      <c r="X398" s="28">
        <f>SUM(X394:X396)</f>
        <v>9913.3885312000002</v>
      </c>
      <c r="AE398" s="29"/>
      <c r="AF398" s="26" t="s">
        <v>201</v>
      </c>
      <c r="AH398" s="31"/>
      <c r="AI398" s="40">
        <f>(AI396/10)</f>
        <v>7504.07708</v>
      </c>
    </row>
    <row r="399" spans="1:35" ht="24" customHeight="1">
      <c r="A399" s="50">
        <f t="shared" si="28"/>
        <v>234</v>
      </c>
      <c r="B399" s="51" t="s">
        <v>620</v>
      </c>
      <c r="C399" s="49">
        <v>13.6</v>
      </c>
      <c r="D399" s="51" t="s">
        <v>105</v>
      </c>
      <c r="K399" s="35" t="s">
        <v>48</v>
      </c>
      <c r="R399" s="35" t="s">
        <v>41</v>
      </c>
      <c r="X399" s="80" t="s">
        <v>608</v>
      </c>
      <c r="Y399" s="80"/>
      <c r="AE399" s="29"/>
      <c r="AH399" s="31"/>
      <c r="AI399" s="35" t="s">
        <v>41</v>
      </c>
    </row>
    <row r="400" spans="1:35" ht="24" customHeight="1">
      <c r="A400" s="50">
        <f t="shared" si="28"/>
        <v>235</v>
      </c>
      <c r="B400" s="51" t="s">
        <v>613</v>
      </c>
      <c r="C400" s="49">
        <v>23.2</v>
      </c>
      <c r="D400" s="51" t="s">
        <v>105</v>
      </c>
      <c r="H400" s="26" t="s">
        <v>403</v>
      </c>
      <c r="K400" s="39">
        <f>(K398/10)</f>
        <v>902.81862359999991</v>
      </c>
      <c r="N400" s="26" t="s">
        <v>386</v>
      </c>
      <c r="O400" s="26" t="s">
        <v>621</v>
      </c>
      <c r="U400" s="28" t="s">
        <v>403</v>
      </c>
      <c r="X400" s="28">
        <f>X398/10</f>
        <v>991.33885312000007</v>
      </c>
      <c r="AE400" s="29"/>
      <c r="AH400" s="31"/>
    </row>
    <row r="401" spans="1:35" ht="24" customHeight="1">
      <c r="A401" s="50">
        <f t="shared" si="28"/>
        <v>236</v>
      </c>
      <c r="B401" s="51" t="s">
        <v>615</v>
      </c>
      <c r="C401" s="49">
        <v>52</v>
      </c>
      <c r="D401" s="51" t="s">
        <v>105</v>
      </c>
      <c r="K401" s="35" t="s">
        <v>41</v>
      </c>
      <c r="O401" s="35" t="s">
        <v>48</v>
      </c>
      <c r="X401" s="80" t="s">
        <v>611</v>
      </c>
      <c r="Y401" s="80"/>
      <c r="AE401" s="38" t="s">
        <v>386</v>
      </c>
      <c r="AF401" s="26" t="s">
        <v>622</v>
      </c>
      <c r="AH401" s="31"/>
    </row>
    <row r="402" spans="1:35" ht="24" customHeight="1">
      <c r="A402" s="50">
        <f t="shared" si="28"/>
        <v>237</v>
      </c>
      <c r="B402" s="51" t="s">
        <v>616</v>
      </c>
      <c r="C402" s="49">
        <v>69.8</v>
      </c>
      <c r="D402" s="51" t="s">
        <v>105</v>
      </c>
      <c r="H402" s="26" t="s">
        <v>309</v>
      </c>
      <c r="J402" s="31">
        <f>K402-K400</f>
        <v>9.116800000000012</v>
      </c>
      <c r="K402" s="39">
        <f>(K400+C19/10*F394)</f>
        <v>911.93542359999992</v>
      </c>
      <c r="M402" s="40">
        <v>10</v>
      </c>
      <c r="N402" s="26" t="s">
        <v>438</v>
      </c>
      <c r="O402" s="26" t="s">
        <v>609</v>
      </c>
      <c r="P402" s="40">
        <f>(R398)</f>
        <v>36.099600000000002</v>
      </c>
      <c r="Q402" s="26" t="s">
        <v>438</v>
      </c>
      <c r="R402" s="40">
        <f>(M402*P402)</f>
        <v>360.99600000000004</v>
      </c>
      <c r="U402" s="41" t="s">
        <v>309</v>
      </c>
      <c r="W402" s="28">
        <f>0.112*C19</f>
        <v>9.2825600000000001</v>
      </c>
      <c r="X402" s="41">
        <f>X400+W402</f>
        <v>1000.6214131200001</v>
      </c>
      <c r="Y402" s="41"/>
      <c r="AE402" s="29"/>
      <c r="AF402" s="35" t="s">
        <v>48</v>
      </c>
      <c r="AH402" s="31"/>
    </row>
    <row r="403" spans="1:35" ht="24" customHeight="1">
      <c r="A403" s="50">
        <f t="shared" si="28"/>
        <v>238</v>
      </c>
      <c r="B403" s="51" t="s">
        <v>617</v>
      </c>
      <c r="C403" s="49">
        <v>87</v>
      </c>
      <c r="D403" s="51" t="s">
        <v>105</v>
      </c>
      <c r="H403" s="26" t="s">
        <v>313</v>
      </c>
      <c r="J403" s="31">
        <f>K403-K402</f>
        <v>18.372200000000021</v>
      </c>
      <c r="K403" s="39">
        <f>(K402+C20/10*F394)</f>
        <v>930.30762359999994</v>
      </c>
      <c r="M403" s="40">
        <v>10</v>
      </c>
      <c r="N403" s="26" t="s">
        <v>438</v>
      </c>
      <c r="O403" s="26" t="s">
        <v>623</v>
      </c>
      <c r="P403" s="40">
        <f>(R398/2)</f>
        <v>18.049800000000001</v>
      </c>
      <c r="Q403" s="26" t="s">
        <v>438</v>
      </c>
      <c r="R403" s="40">
        <f>(M403*P403)</f>
        <v>180.49800000000002</v>
      </c>
      <c r="U403" s="41" t="s">
        <v>313</v>
      </c>
      <c r="W403" s="28">
        <f>0.112*C20</f>
        <v>18.706239999999998</v>
      </c>
      <c r="X403" s="41">
        <f>X402+W403</f>
        <v>1019.32765312</v>
      </c>
      <c r="Y403" s="41"/>
      <c r="AD403" s="40">
        <v>1.1399999999999999</v>
      </c>
      <c r="AE403" s="38" t="s">
        <v>93</v>
      </c>
      <c r="AF403" s="26" t="s">
        <v>394</v>
      </c>
      <c r="AG403" s="40">
        <f>(AI398)</f>
        <v>7504.07708</v>
      </c>
      <c r="AH403" s="26" t="s">
        <v>93</v>
      </c>
      <c r="AI403" s="40">
        <f>(AD403*AG403)</f>
        <v>8554.6478711999989</v>
      </c>
    </row>
    <row r="404" spans="1:35" ht="24" customHeight="1">
      <c r="A404" s="50">
        <f t="shared" si="28"/>
        <v>239</v>
      </c>
      <c r="B404" s="51" t="s">
        <v>561</v>
      </c>
      <c r="C404" s="49">
        <v>116.3</v>
      </c>
      <c r="D404" s="51" t="s">
        <v>105</v>
      </c>
      <c r="H404" s="26" t="s">
        <v>316</v>
      </c>
      <c r="K404" s="39">
        <f>(K403+C21/10*F394)</f>
        <v>948.67982359999996</v>
      </c>
      <c r="O404" s="26" t="s">
        <v>624</v>
      </c>
      <c r="R404" s="35" t="s">
        <v>48</v>
      </c>
      <c r="U404" s="41" t="s">
        <v>316</v>
      </c>
      <c r="W404" s="28">
        <f>W403</f>
        <v>18.706239999999998</v>
      </c>
      <c r="X404" s="41">
        <f>X403+W404</f>
        <v>1038.0338931200001</v>
      </c>
      <c r="Y404" s="41"/>
      <c r="AD404" s="40">
        <v>1</v>
      </c>
      <c r="AE404" s="38" t="s">
        <v>196</v>
      </c>
      <c r="AF404" s="26" t="s">
        <v>298</v>
      </c>
      <c r="AG404" s="40">
        <f>AG390</f>
        <v>1076.5999999999999</v>
      </c>
      <c r="AH404" s="26" t="s">
        <v>105</v>
      </c>
      <c r="AI404" s="40">
        <f>(AD404*AG404)</f>
        <v>1076.5999999999999</v>
      </c>
    </row>
    <row r="405" spans="1:35" ht="24" customHeight="1">
      <c r="A405" s="50">
        <f t="shared" si="28"/>
        <v>240</v>
      </c>
      <c r="B405" s="120" t="s">
        <v>625</v>
      </c>
      <c r="C405" s="121">
        <v>246</v>
      </c>
      <c r="D405" s="122" t="s">
        <v>105</v>
      </c>
      <c r="H405" s="26" t="s">
        <v>318</v>
      </c>
      <c r="K405" s="39">
        <f>(K404+C21/10*F394)</f>
        <v>967.05202359999998</v>
      </c>
      <c r="R405" s="40">
        <f>SUM(R402:R403)</f>
        <v>541.49400000000003</v>
      </c>
      <c r="U405" s="41" t="s">
        <v>318</v>
      </c>
      <c r="W405" s="28">
        <f>W403</f>
        <v>18.706239999999998</v>
      </c>
      <c r="X405" s="41">
        <f>X404+W405</f>
        <v>1056.7401331200001</v>
      </c>
      <c r="Y405" s="41"/>
      <c r="AE405" s="38" t="s">
        <v>106</v>
      </c>
      <c r="AF405" s="26" t="s">
        <v>107</v>
      </c>
      <c r="AG405" s="26" t="s">
        <v>27</v>
      </c>
      <c r="AH405" s="26" t="s">
        <v>106</v>
      </c>
      <c r="AI405" s="40">
        <v>0</v>
      </c>
    </row>
    <row r="406" spans="1:35" ht="24" customHeight="1">
      <c r="A406" s="50">
        <f t="shared" si="28"/>
        <v>241</v>
      </c>
      <c r="B406" s="51" t="s">
        <v>626</v>
      </c>
      <c r="C406" s="66"/>
      <c r="D406" s="51" t="s">
        <v>27</v>
      </c>
      <c r="H406" s="26" t="s">
        <v>407</v>
      </c>
      <c r="K406" s="39">
        <f>(K405+C21/10*F394)</f>
        <v>985.4242236</v>
      </c>
      <c r="L406" s="28">
        <f>K406-K405</f>
        <v>18.372200000000021</v>
      </c>
      <c r="O406" s="26" t="s">
        <v>401</v>
      </c>
      <c r="R406" s="35" t="s">
        <v>48</v>
      </c>
      <c r="U406" s="41" t="s">
        <v>407</v>
      </c>
      <c r="W406" s="28">
        <f>W405</f>
        <v>18.706239999999998</v>
      </c>
      <c r="X406" s="41">
        <f>X405+W406</f>
        <v>1075.4463731200001</v>
      </c>
      <c r="Y406" s="41"/>
      <c r="AE406" s="29"/>
      <c r="AH406" s="31"/>
      <c r="AI406" s="35" t="s">
        <v>48</v>
      </c>
    </row>
    <row r="407" spans="1:35" ht="24" customHeight="1">
      <c r="A407" s="50">
        <f t="shared" si="28"/>
        <v>242</v>
      </c>
      <c r="B407" s="51" t="s">
        <v>620</v>
      </c>
      <c r="C407" s="49">
        <v>13.6</v>
      </c>
      <c r="D407" s="51" t="s">
        <v>105</v>
      </c>
      <c r="F407" s="64">
        <v>11</v>
      </c>
      <c r="G407" s="38" t="s">
        <v>67</v>
      </c>
      <c r="H407" s="26" t="s">
        <v>627</v>
      </c>
      <c r="L407" s="28">
        <f>K406+L406</f>
        <v>1003.7964236</v>
      </c>
      <c r="R407" s="40">
        <f>(R405/10)</f>
        <v>54.1494</v>
      </c>
      <c r="S407" s="32">
        <v>11</v>
      </c>
      <c r="T407" s="28" t="s">
        <v>67</v>
      </c>
      <c r="U407" s="28" t="s">
        <v>627</v>
      </c>
      <c r="AE407" s="29"/>
      <c r="AF407" s="26" t="s">
        <v>401</v>
      </c>
      <c r="AH407" s="31"/>
      <c r="AI407" s="40">
        <f>SUM(AI403:AI405)</f>
        <v>9631.2478711999993</v>
      </c>
    </row>
    <row r="408" spans="1:35" ht="24" customHeight="1">
      <c r="A408" s="50">
        <f t="shared" si="28"/>
        <v>243</v>
      </c>
      <c r="B408" s="51" t="s">
        <v>613</v>
      </c>
      <c r="C408" s="49">
        <v>15.9</v>
      </c>
      <c r="D408" s="51" t="s">
        <v>105</v>
      </c>
      <c r="H408" s="40" t="str">
        <f>H309</f>
        <v>Bricks of size 22x11x7 cm</v>
      </c>
      <c r="O408" s="26" t="s">
        <v>403</v>
      </c>
      <c r="R408" s="35" t="s">
        <v>41</v>
      </c>
      <c r="U408" s="28" t="s">
        <v>559</v>
      </c>
      <c r="AE408" s="29"/>
      <c r="AH408" s="31"/>
      <c r="AI408" s="35" t="s">
        <v>48</v>
      </c>
    </row>
    <row r="409" spans="1:35" ht="24" customHeight="1">
      <c r="A409" s="50">
        <f t="shared" si="28"/>
        <v>244</v>
      </c>
      <c r="B409" s="51" t="s">
        <v>615</v>
      </c>
      <c r="C409" s="49">
        <v>28.6</v>
      </c>
      <c r="D409" s="51" t="s">
        <v>105</v>
      </c>
      <c r="H409" s="35" t="s">
        <v>48</v>
      </c>
      <c r="U409" s="28" t="s">
        <v>48</v>
      </c>
      <c r="AE409" s="29"/>
      <c r="AF409" s="26" t="s">
        <v>403</v>
      </c>
      <c r="AH409" s="31"/>
      <c r="AI409" s="39">
        <f>(AI407/10)</f>
        <v>963.12478711999995</v>
      </c>
    </row>
    <row r="410" spans="1:35" ht="24" customHeight="1">
      <c r="A410" s="50">
        <f t="shared" si="28"/>
        <v>245</v>
      </c>
      <c r="B410" s="51" t="s">
        <v>616</v>
      </c>
      <c r="C410" s="49">
        <v>46.5</v>
      </c>
      <c r="D410" s="51" t="s">
        <v>105</v>
      </c>
      <c r="F410" s="40">
        <f>F311</f>
        <v>4800</v>
      </c>
      <c r="G410" s="38" t="s">
        <v>293</v>
      </c>
      <c r="H410" s="40" t="str">
        <f>H309</f>
        <v>Bricks of size 22x11x7 cm</v>
      </c>
      <c r="I410" s="40">
        <f>(C80)</f>
        <v>6767.65</v>
      </c>
      <c r="J410" s="26" t="s">
        <v>413</v>
      </c>
      <c r="K410" s="40">
        <f>(F410*I410)/1000</f>
        <v>32484.720000000001</v>
      </c>
      <c r="N410" s="26" t="s">
        <v>67</v>
      </c>
      <c r="O410" s="26" t="s">
        <v>628</v>
      </c>
      <c r="S410" s="32">
        <v>4600</v>
      </c>
      <c r="T410" s="28" t="s">
        <v>293</v>
      </c>
      <c r="U410" s="28" t="s">
        <v>559</v>
      </c>
      <c r="V410" s="28">
        <f t="shared" ref="V410:V415" si="30">V379</f>
        <v>8499.4500000000007</v>
      </c>
      <c r="W410" s="28" t="s">
        <v>413</v>
      </c>
      <c r="X410" s="28">
        <f>V410*S410/1000</f>
        <v>39097.47</v>
      </c>
      <c r="AE410" s="29"/>
      <c r="AH410" s="31"/>
      <c r="AI410" s="35" t="s">
        <v>41</v>
      </c>
    </row>
    <row r="411" spans="1:35" ht="24" customHeight="1">
      <c r="A411" s="50">
        <f t="shared" ref="A411:A421" si="31">(A410+1)</f>
        <v>246</v>
      </c>
      <c r="B411" s="51" t="s">
        <v>617</v>
      </c>
      <c r="C411" s="49">
        <v>58.1</v>
      </c>
      <c r="D411" s="51" t="s">
        <v>105</v>
      </c>
      <c r="F411" s="40">
        <f>F380</f>
        <v>1.59</v>
      </c>
      <c r="G411" s="38" t="s">
        <v>93</v>
      </c>
      <c r="H411" s="26" t="s">
        <v>218</v>
      </c>
      <c r="I411" s="40">
        <f>(K40)</f>
        <v>4975.6400000000003</v>
      </c>
      <c r="J411" s="26" t="s">
        <v>93</v>
      </c>
      <c r="K411" s="40">
        <f>(F411*I411)</f>
        <v>7911.267600000001</v>
      </c>
      <c r="O411" s="26" t="s">
        <v>629</v>
      </c>
      <c r="S411" s="32">
        <v>1.59</v>
      </c>
      <c r="T411" s="28" t="s">
        <v>93</v>
      </c>
      <c r="U411" s="28" t="s">
        <v>218</v>
      </c>
      <c r="V411" s="28">
        <f t="shared" si="30"/>
        <v>4975.6400000000003</v>
      </c>
      <c r="W411" s="28" t="s">
        <v>93</v>
      </c>
      <c r="X411" s="28">
        <f t="shared" ref="X411:X416" si="32">V411*S411</f>
        <v>7911.267600000001</v>
      </c>
      <c r="AE411" s="29"/>
      <c r="AF411" s="26" t="s">
        <v>309</v>
      </c>
      <c r="AH411" s="31">
        <f>C19*0.114</f>
        <v>9.4483199999999989</v>
      </c>
      <c r="AI411" s="39">
        <f>AI409+AH411</f>
        <v>972.57310711999992</v>
      </c>
    </row>
    <row r="412" spans="1:35" ht="24" customHeight="1">
      <c r="A412" s="50">
        <f t="shared" si="31"/>
        <v>247</v>
      </c>
      <c r="B412" s="51" t="s">
        <v>561</v>
      </c>
      <c r="C412" s="49">
        <v>69.8</v>
      </c>
      <c r="D412" s="51" t="s">
        <v>105</v>
      </c>
      <c r="F412" s="40">
        <v>7</v>
      </c>
      <c r="G412" s="38" t="s">
        <v>105</v>
      </c>
      <c r="H412" s="26" t="s">
        <v>298</v>
      </c>
      <c r="I412" s="40">
        <f>(C10)</f>
        <v>1076.5999999999999</v>
      </c>
      <c r="J412" s="26" t="s">
        <v>105</v>
      </c>
      <c r="K412" s="40">
        <f>(F412*I412)</f>
        <v>7536.1999999999989</v>
      </c>
      <c r="O412" s="35" t="s">
        <v>48</v>
      </c>
      <c r="S412" s="32">
        <v>7</v>
      </c>
      <c r="T412" s="28" t="s">
        <v>105</v>
      </c>
      <c r="U412" s="28" t="s">
        <v>298</v>
      </c>
      <c r="V412" s="28">
        <f t="shared" si="30"/>
        <v>1076.5999999999999</v>
      </c>
      <c r="W412" s="28" t="s">
        <v>105</v>
      </c>
      <c r="X412" s="28">
        <f t="shared" si="32"/>
        <v>7536.1999999999989</v>
      </c>
      <c r="AE412" s="29"/>
      <c r="AF412" s="26" t="s">
        <v>313</v>
      </c>
      <c r="AH412" s="31">
        <f>C20*0.114</f>
        <v>19.040279999999999</v>
      </c>
      <c r="AI412" s="39">
        <f t="shared" ref="AI412:AI420" si="33">AI411+AH412</f>
        <v>991.61338711999997</v>
      </c>
    </row>
    <row r="413" spans="1:35" ht="24" customHeight="1">
      <c r="A413" s="50">
        <f t="shared" si="31"/>
        <v>248</v>
      </c>
      <c r="B413" s="120" t="s">
        <v>630</v>
      </c>
      <c r="C413" s="121">
        <v>212</v>
      </c>
      <c r="D413" s="122" t="s">
        <v>105</v>
      </c>
      <c r="F413" s="40">
        <v>7.1</v>
      </c>
      <c r="G413" s="38" t="s">
        <v>105</v>
      </c>
      <c r="H413" s="26" t="s">
        <v>269</v>
      </c>
      <c r="I413" s="40">
        <f>(C11)</f>
        <v>1005.1999999999999</v>
      </c>
      <c r="J413" s="26" t="s">
        <v>105</v>
      </c>
      <c r="K413" s="40">
        <f>(F413*I413)</f>
        <v>7136.9199999999992</v>
      </c>
      <c r="M413" s="40">
        <v>10</v>
      </c>
      <c r="N413" s="26" t="s">
        <v>438</v>
      </c>
      <c r="O413" s="26" t="s">
        <v>599</v>
      </c>
      <c r="P413" s="40">
        <f>(R384)</f>
        <v>24.7879</v>
      </c>
      <c r="Q413" s="26" t="s">
        <v>438</v>
      </c>
      <c r="R413" s="40">
        <f>(M413*P413)</f>
        <v>247.87900000000002</v>
      </c>
      <c r="S413" s="32">
        <v>7.1</v>
      </c>
      <c r="T413" s="28" t="s">
        <v>105</v>
      </c>
      <c r="U413" s="28" t="s">
        <v>269</v>
      </c>
      <c r="V413" s="28">
        <f t="shared" si="30"/>
        <v>1005.1999999999999</v>
      </c>
      <c r="W413" s="28" t="s">
        <v>105</v>
      </c>
      <c r="X413" s="28">
        <f t="shared" si="32"/>
        <v>7136.9199999999992</v>
      </c>
      <c r="AE413" s="29"/>
      <c r="AF413" s="26" t="s">
        <v>316</v>
      </c>
      <c r="AH413" s="31">
        <f t="shared" ref="AH413:AH422" si="34">AH412</f>
        <v>19.040279999999999</v>
      </c>
      <c r="AI413" s="39">
        <f t="shared" si="33"/>
        <v>1010.65366712</v>
      </c>
    </row>
    <row r="414" spans="1:35" ht="24" customHeight="1">
      <c r="A414" s="50">
        <f t="shared" si="31"/>
        <v>249</v>
      </c>
      <c r="B414" s="123" t="s">
        <v>631</v>
      </c>
      <c r="C414" s="66"/>
      <c r="D414" s="51" t="s">
        <v>27</v>
      </c>
      <c r="F414" s="40">
        <v>7.1</v>
      </c>
      <c r="G414" s="38" t="s">
        <v>105</v>
      </c>
      <c r="H414" s="26" t="s">
        <v>271</v>
      </c>
      <c r="I414" s="40">
        <f>(C12)</f>
        <v>702.8</v>
      </c>
      <c r="J414" s="26" t="s">
        <v>105</v>
      </c>
      <c r="K414" s="40">
        <f>(F414*I414)</f>
        <v>4989.8799999999992</v>
      </c>
      <c r="M414" s="40">
        <v>10</v>
      </c>
      <c r="N414" s="26" t="s">
        <v>438</v>
      </c>
      <c r="O414" s="26" t="s">
        <v>621</v>
      </c>
      <c r="P414" s="40">
        <f>(R407)</f>
        <v>54.1494</v>
      </c>
      <c r="Q414" s="26" t="s">
        <v>438</v>
      </c>
      <c r="R414" s="40">
        <f>(M414*P414)</f>
        <v>541.49400000000003</v>
      </c>
      <c r="S414" s="32">
        <v>7.1</v>
      </c>
      <c r="T414" s="28" t="s">
        <v>105</v>
      </c>
      <c r="U414" s="28" t="s">
        <v>271</v>
      </c>
      <c r="V414" s="28">
        <f t="shared" si="30"/>
        <v>702.8</v>
      </c>
      <c r="W414" s="28" t="s">
        <v>105</v>
      </c>
      <c r="X414" s="28">
        <f t="shared" si="32"/>
        <v>4989.8799999999992</v>
      </c>
      <c r="AE414" s="29"/>
      <c r="AF414" s="26" t="s">
        <v>318</v>
      </c>
      <c r="AH414" s="31">
        <f t="shared" si="34"/>
        <v>19.040279999999999</v>
      </c>
      <c r="AI414" s="39">
        <f t="shared" si="33"/>
        <v>1029.6939471200001</v>
      </c>
    </row>
    <row r="415" spans="1:35" ht="24" customHeight="1">
      <c r="A415" s="50">
        <f t="shared" si="31"/>
        <v>250</v>
      </c>
      <c r="B415" s="51" t="s">
        <v>620</v>
      </c>
      <c r="C415" s="49">
        <v>15.9</v>
      </c>
      <c r="D415" s="51" t="s">
        <v>105</v>
      </c>
      <c r="F415" s="40">
        <v>21.2</v>
      </c>
      <c r="G415" s="38" t="s">
        <v>105</v>
      </c>
      <c r="H415" s="26" t="s">
        <v>276</v>
      </c>
      <c r="I415" s="40">
        <f>(C13)</f>
        <v>576.79999999999995</v>
      </c>
      <c r="J415" s="26" t="s">
        <v>105</v>
      </c>
      <c r="K415" s="40">
        <f>(F415*I415)</f>
        <v>12228.159999999998</v>
      </c>
      <c r="O415" s="26" t="s">
        <v>27</v>
      </c>
      <c r="R415" s="35" t="s">
        <v>48</v>
      </c>
      <c r="S415" s="32">
        <v>21.2</v>
      </c>
      <c r="T415" s="28" t="s">
        <v>105</v>
      </c>
      <c r="U415" s="28" t="s">
        <v>276</v>
      </c>
      <c r="V415" s="28">
        <f t="shared" si="30"/>
        <v>576.79999999999995</v>
      </c>
      <c r="W415" s="28" t="s">
        <v>105</v>
      </c>
      <c r="X415" s="28">
        <f t="shared" si="32"/>
        <v>12228.159999999998</v>
      </c>
      <c r="AE415" s="29"/>
      <c r="AF415" s="26" t="s">
        <v>407</v>
      </c>
      <c r="AH415" s="31">
        <f t="shared" si="34"/>
        <v>19.040279999999999</v>
      </c>
      <c r="AI415" s="39">
        <f t="shared" si="33"/>
        <v>1048.73422712</v>
      </c>
    </row>
    <row r="416" spans="1:35" ht="24" customHeight="1">
      <c r="A416" s="50">
        <f t="shared" si="31"/>
        <v>251</v>
      </c>
      <c r="B416" s="51" t="s">
        <v>613</v>
      </c>
      <c r="C416" s="49">
        <v>25.4</v>
      </c>
      <c r="D416" s="51" t="s">
        <v>105</v>
      </c>
      <c r="G416" s="38" t="s">
        <v>106</v>
      </c>
      <c r="H416" s="26" t="s">
        <v>107</v>
      </c>
      <c r="I416" s="26" t="s">
        <v>27</v>
      </c>
      <c r="J416" s="26" t="s">
        <v>106</v>
      </c>
      <c r="K416" s="40">
        <v>0</v>
      </c>
      <c r="R416" s="40">
        <f>SUM(R413:R414)</f>
        <v>789.37300000000005</v>
      </c>
      <c r="T416" s="28" t="s">
        <v>106</v>
      </c>
      <c r="U416" s="28" t="s">
        <v>107</v>
      </c>
      <c r="V416" s="28" t="s">
        <v>27</v>
      </c>
      <c r="W416" s="28" t="s">
        <v>106</v>
      </c>
      <c r="X416" s="28">
        <f t="shared" si="32"/>
        <v>0</v>
      </c>
      <c r="AE416" s="29"/>
      <c r="AF416" s="26" t="s">
        <v>632</v>
      </c>
      <c r="AH416" s="31">
        <f t="shared" si="34"/>
        <v>19.040279999999999</v>
      </c>
      <c r="AI416" s="39">
        <f t="shared" si="33"/>
        <v>1067.77450712</v>
      </c>
    </row>
    <row r="417" spans="1:37" ht="24" customHeight="1">
      <c r="A417" s="50">
        <f t="shared" si="31"/>
        <v>252</v>
      </c>
      <c r="B417" s="51" t="s">
        <v>615</v>
      </c>
      <c r="C417" s="49">
        <v>58.1</v>
      </c>
      <c r="D417" s="51" t="s">
        <v>105</v>
      </c>
      <c r="K417" s="35" t="s">
        <v>48</v>
      </c>
      <c r="O417" s="26" t="s">
        <v>401</v>
      </c>
      <c r="R417" s="35" t="s">
        <v>48</v>
      </c>
      <c r="X417" s="80" t="s">
        <v>608</v>
      </c>
      <c r="Y417" s="80"/>
      <c r="AE417" s="29"/>
      <c r="AF417" s="26" t="s">
        <v>633</v>
      </c>
      <c r="AH417" s="31">
        <f t="shared" si="34"/>
        <v>19.040279999999999</v>
      </c>
      <c r="AI417" s="39">
        <f t="shared" si="33"/>
        <v>1086.8147871199999</v>
      </c>
    </row>
    <row r="418" spans="1:37" ht="24" customHeight="1">
      <c r="A418" s="50">
        <f t="shared" si="31"/>
        <v>253</v>
      </c>
      <c r="B418" s="51" t="s">
        <v>616</v>
      </c>
      <c r="C418" s="49">
        <v>87</v>
      </c>
      <c r="D418" s="51" t="s">
        <v>105</v>
      </c>
      <c r="H418" s="26" t="s">
        <v>280</v>
      </c>
      <c r="K418" s="40">
        <f>SUM(K410:K416)</f>
        <v>72287.147599999997</v>
      </c>
      <c r="R418" s="40">
        <f>(R416/10)</f>
        <v>78.937300000000008</v>
      </c>
      <c r="U418" s="28" t="s">
        <v>280</v>
      </c>
      <c r="X418" s="28">
        <f>SUM(X410:X416)</f>
        <v>78899.897599999997</v>
      </c>
      <c r="AE418" s="29"/>
      <c r="AF418" s="26" t="s">
        <v>634</v>
      </c>
      <c r="AH418" s="31">
        <f t="shared" si="34"/>
        <v>19.040279999999999</v>
      </c>
      <c r="AI418" s="39">
        <f t="shared" si="33"/>
        <v>1105.8550671199998</v>
      </c>
    </row>
    <row r="419" spans="1:37" ht="24" customHeight="1">
      <c r="A419" s="50">
        <f t="shared" si="31"/>
        <v>254</v>
      </c>
      <c r="B419" s="51" t="s">
        <v>617</v>
      </c>
      <c r="C419" s="49">
        <v>98.6</v>
      </c>
      <c r="D419" s="51" t="s">
        <v>105</v>
      </c>
      <c r="K419" s="35" t="s">
        <v>48</v>
      </c>
      <c r="O419" s="26" t="s">
        <v>403</v>
      </c>
      <c r="R419" s="35" t="s">
        <v>41</v>
      </c>
      <c r="X419" s="80" t="s">
        <v>608</v>
      </c>
      <c r="Y419" s="80"/>
      <c r="AE419" s="29"/>
      <c r="AF419" s="26" t="s">
        <v>635</v>
      </c>
      <c r="AH419" s="31">
        <f t="shared" si="34"/>
        <v>19.040279999999999</v>
      </c>
      <c r="AI419" s="39">
        <f>AI418+AH419</f>
        <v>1124.8953471199998</v>
      </c>
    </row>
    <row r="420" spans="1:37" ht="24" customHeight="1">
      <c r="A420" s="50">
        <f t="shared" si="31"/>
        <v>255</v>
      </c>
      <c r="B420" s="51" t="s">
        <v>561</v>
      </c>
      <c r="C420" s="49">
        <v>128</v>
      </c>
      <c r="D420" s="51" t="s">
        <v>105</v>
      </c>
      <c r="H420" s="26" t="s">
        <v>201</v>
      </c>
      <c r="K420" s="40">
        <f>(K418/10)</f>
        <v>7228.7147599999998</v>
      </c>
      <c r="U420" s="28" t="s">
        <v>201</v>
      </c>
      <c r="X420" s="28">
        <f>X418/10</f>
        <v>7889.9897599999995</v>
      </c>
      <c r="AE420" s="29"/>
      <c r="AF420" s="26" t="s">
        <v>636</v>
      </c>
      <c r="AH420" s="31">
        <f t="shared" si="34"/>
        <v>19.040279999999999</v>
      </c>
      <c r="AI420" s="39">
        <f t="shared" si="33"/>
        <v>1143.9356271199997</v>
      </c>
    </row>
    <row r="421" spans="1:37" ht="24" customHeight="1">
      <c r="A421" s="50">
        <f t="shared" si="31"/>
        <v>256</v>
      </c>
      <c r="B421" s="122" t="s">
        <v>630</v>
      </c>
      <c r="C421" s="121">
        <v>283</v>
      </c>
      <c r="D421" s="122" t="s">
        <v>105</v>
      </c>
      <c r="K421" s="35" t="s">
        <v>41</v>
      </c>
      <c r="X421" s="80" t="s">
        <v>611</v>
      </c>
      <c r="Y421" s="80"/>
      <c r="AD421" s="64">
        <v>11</v>
      </c>
      <c r="AE421" s="38" t="s">
        <v>67</v>
      </c>
      <c r="AF421" s="26" t="s">
        <v>627</v>
      </c>
      <c r="AH421" s="31">
        <f t="shared" si="34"/>
        <v>19.040279999999999</v>
      </c>
      <c r="AI421" s="39">
        <f>AI420+AH421</f>
        <v>1162.9759071199996</v>
      </c>
    </row>
    <row r="422" spans="1:37" ht="24" customHeight="1">
      <c r="A422" s="66"/>
      <c r="B422" s="66"/>
      <c r="C422" s="66"/>
      <c r="D422" s="66"/>
      <c r="F422" s="26" t="s">
        <v>49</v>
      </c>
      <c r="S422" s="32" t="s">
        <v>49</v>
      </c>
      <c r="AE422" s="29"/>
      <c r="AF422" s="40">
        <f>AF307</f>
        <v>0</v>
      </c>
      <c r="AH422" s="31">
        <f t="shared" si="34"/>
        <v>19.040279999999999</v>
      </c>
      <c r="AI422" s="39">
        <f>AI421+AH422</f>
        <v>1182.0161871199996</v>
      </c>
      <c r="AJ422" s="28" t="s">
        <v>637</v>
      </c>
      <c r="AK422" s="28">
        <f>AI422+AH422</f>
        <v>1201.0564671199995</v>
      </c>
    </row>
    <row r="423" spans="1:37" ht="24" customHeight="1">
      <c r="A423" s="50">
        <f>(A421+1)</f>
        <v>257</v>
      </c>
      <c r="B423" s="123" t="s">
        <v>638</v>
      </c>
      <c r="C423" s="66"/>
      <c r="D423" s="51" t="s">
        <v>27</v>
      </c>
      <c r="O423" s="27" t="s">
        <v>639</v>
      </c>
      <c r="AE423" s="29"/>
      <c r="AF423" s="35" t="s">
        <v>48</v>
      </c>
      <c r="AH423" s="31"/>
      <c r="AJ423" s="28" t="s">
        <v>640</v>
      </c>
      <c r="AK423" s="28">
        <f>AK422+AH422</f>
        <v>1220.0967471199995</v>
      </c>
    </row>
    <row r="424" spans="1:37" ht="24" customHeight="1">
      <c r="A424" s="50">
        <f t="shared" ref="A424:A487" si="35">(A423+1)</f>
        <v>258</v>
      </c>
      <c r="B424" s="51" t="s">
        <v>620</v>
      </c>
      <c r="C424" s="49">
        <v>58.1</v>
      </c>
      <c r="D424" s="51" t="s">
        <v>105</v>
      </c>
      <c r="G424" s="38" t="s">
        <v>420</v>
      </c>
      <c r="H424" s="26" t="s">
        <v>421</v>
      </c>
      <c r="O424" s="35" t="s">
        <v>48</v>
      </c>
      <c r="T424" s="28" t="s">
        <v>420</v>
      </c>
      <c r="U424" s="28" t="s">
        <v>421</v>
      </c>
      <c r="AD424" s="40">
        <f>AD311</f>
        <v>4240</v>
      </c>
      <c r="AE424" s="38" t="s">
        <v>293</v>
      </c>
      <c r="AF424" s="40" t="str">
        <f>AF311</f>
        <v>Bricks of size 23x11.4x7.5 cm</v>
      </c>
      <c r="AG424" s="40">
        <f t="shared" ref="AG424:AG429" si="36">AG388</f>
        <v>8686.4500000000007</v>
      </c>
      <c r="AH424" s="26" t="s">
        <v>413</v>
      </c>
      <c r="AI424" s="40">
        <f>(AD424*AG424)/1000</f>
        <v>36830.548000000003</v>
      </c>
    </row>
    <row r="425" spans="1:37" ht="24" customHeight="1">
      <c r="A425" s="50">
        <f t="shared" si="35"/>
        <v>259</v>
      </c>
      <c r="B425" s="51" t="s">
        <v>613</v>
      </c>
      <c r="C425" s="49">
        <v>69.8</v>
      </c>
      <c r="D425" s="51" t="s">
        <v>105</v>
      </c>
      <c r="H425" s="35" t="s">
        <v>48</v>
      </c>
      <c r="N425" s="26" t="s">
        <v>67</v>
      </c>
      <c r="O425" s="26" t="s">
        <v>641</v>
      </c>
      <c r="U425" s="28" t="s">
        <v>48</v>
      </c>
      <c r="AD425" s="40">
        <v>1.27</v>
      </c>
      <c r="AE425" s="38" t="s">
        <v>93</v>
      </c>
      <c r="AF425" s="26" t="s">
        <v>218</v>
      </c>
      <c r="AG425" s="40">
        <f t="shared" si="36"/>
        <v>4975.6400000000003</v>
      </c>
      <c r="AH425" s="26" t="s">
        <v>93</v>
      </c>
      <c r="AI425" s="40">
        <f>(AD425*AG425)</f>
        <v>6319.0628000000006</v>
      </c>
    </row>
    <row r="426" spans="1:37" ht="24" customHeight="1">
      <c r="A426" s="50">
        <f t="shared" si="35"/>
        <v>260</v>
      </c>
      <c r="B426" s="51" t="s">
        <v>615</v>
      </c>
      <c r="C426" s="49">
        <v>98.6</v>
      </c>
      <c r="D426" s="51" t="s">
        <v>105</v>
      </c>
      <c r="F426" s="40">
        <v>0.7</v>
      </c>
      <c r="G426" s="38" t="s">
        <v>93</v>
      </c>
      <c r="H426" s="26" t="s">
        <v>422</v>
      </c>
      <c r="I426" s="40">
        <f>(K420)</f>
        <v>7228.7147599999998</v>
      </c>
      <c r="J426" s="26" t="s">
        <v>105</v>
      </c>
      <c r="K426" s="40">
        <f>(F426*I426)</f>
        <v>5060.100332</v>
      </c>
      <c r="O426" s="26" t="s">
        <v>642</v>
      </c>
      <c r="S426" s="32">
        <v>0.7</v>
      </c>
      <c r="T426" s="28" t="s">
        <v>93</v>
      </c>
      <c r="U426" s="28" t="s">
        <v>422</v>
      </c>
      <c r="V426" s="28">
        <f>X420</f>
        <v>7889.9897599999995</v>
      </c>
      <c r="W426" s="28" t="s">
        <v>105</v>
      </c>
      <c r="X426" s="28">
        <f>V426*S426</f>
        <v>5522.992831999999</v>
      </c>
      <c r="AD426" s="40">
        <v>7</v>
      </c>
      <c r="AE426" s="38" t="s">
        <v>105</v>
      </c>
      <c r="AF426" s="26" t="s">
        <v>298</v>
      </c>
      <c r="AG426" s="40">
        <f t="shared" si="36"/>
        <v>1076.5999999999999</v>
      </c>
      <c r="AH426" s="26" t="s">
        <v>105</v>
      </c>
      <c r="AI426" s="40">
        <f>(AD426*AG426)</f>
        <v>7536.1999999999989</v>
      </c>
    </row>
    <row r="427" spans="1:37" ht="24" customHeight="1">
      <c r="A427" s="50">
        <f t="shared" si="35"/>
        <v>261</v>
      </c>
      <c r="B427" s="51" t="s">
        <v>616</v>
      </c>
      <c r="C427" s="49">
        <v>127.5</v>
      </c>
      <c r="D427" s="51" t="s">
        <v>105</v>
      </c>
      <c r="F427" s="40">
        <v>1</v>
      </c>
      <c r="G427" s="38" t="s">
        <v>196</v>
      </c>
      <c r="H427" s="26" t="s">
        <v>298</v>
      </c>
      <c r="I427" s="40">
        <f>(C10)</f>
        <v>1076.5999999999999</v>
      </c>
      <c r="J427" s="26" t="s">
        <v>105</v>
      </c>
      <c r="K427" s="40">
        <f>(F427*I427)</f>
        <v>1076.5999999999999</v>
      </c>
      <c r="O427" s="26" t="s">
        <v>643</v>
      </c>
      <c r="S427" s="32">
        <v>1</v>
      </c>
      <c r="T427" s="28" t="s">
        <v>196</v>
      </c>
      <c r="U427" s="28" t="s">
        <v>298</v>
      </c>
      <c r="V427" s="28">
        <f>V395</f>
        <v>1076.5999999999999</v>
      </c>
      <c r="W427" s="28" t="s">
        <v>105</v>
      </c>
      <c r="X427" s="28">
        <f>V427*S427</f>
        <v>1076.5999999999999</v>
      </c>
      <c r="AD427" s="40">
        <v>7.1</v>
      </c>
      <c r="AE427" s="38" t="s">
        <v>105</v>
      </c>
      <c r="AF427" s="26" t="s">
        <v>269</v>
      </c>
      <c r="AG427" s="40">
        <f t="shared" si="36"/>
        <v>1005.1999999999999</v>
      </c>
      <c r="AH427" s="26" t="s">
        <v>105</v>
      </c>
      <c r="AI427" s="40">
        <f>(AD427*AG427)</f>
        <v>7136.9199999999992</v>
      </c>
    </row>
    <row r="428" spans="1:37" ht="24" customHeight="1">
      <c r="A428" s="50">
        <f t="shared" si="35"/>
        <v>262</v>
      </c>
      <c r="B428" s="51" t="s">
        <v>617</v>
      </c>
      <c r="C428" s="49">
        <v>197.5</v>
      </c>
      <c r="D428" s="51" t="s">
        <v>105</v>
      </c>
      <c r="G428" s="38" t="s">
        <v>106</v>
      </c>
      <c r="H428" s="26" t="s">
        <v>107</v>
      </c>
      <c r="I428" s="26" t="s">
        <v>27</v>
      </c>
      <c r="J428" s="26" t="s">
        <v>106</v>
      </c>
      <c r="K428" s="40">
        <v>0</v>
      </c>
      <c r="O428" s="35" t="s">
        <v>48</v>
      </c>
      <c r="T428" s="28" t="s">
        <v>106</v>
      </c>
      <c r="U428" s="28" t="s">
        <v>107</v>
      </c>
      <c r="V428" s="28" t="s">
        <v>27</v>
      </c>
      <c r="W428" s="28" t="s">
        <v>106</v>
      </c>
      <c r="X428" s="28">
        <v>0</v>
      </c>
      <c r="AD428" s="40">
        <f>AD315</f>
        <v>7.1</v>
      </c>
      <c r="AE428" s="38" t="s">
        <v>105</v>
      </c>
      <c r="AF428" s="26" t="s">
        <v>271</v>
      </c>
      <c r="AG428" s="40">
        <f t="shared" si="36"/>
        <v>702.8</v>
      </c>
      <c r="AH428" s="26" t="s">
        <v>105</v>
      </c>
      <c r="AI428" s="40">
        <f>(AD428*AG428)</f>
        <v>4989.8799999999992</v>
      </c>
    </row>
    <row r="429" spans="1:37" ht="39" customHeight="1">
      <c r="A429" s="50">
        <f t="shared" si="35"/>
        <v>263</v>
      </c>
      <c r="B429" s="51" t="s">
        <v>561</v>
      </c>
      <c r="C429" s="49">
        <v>266.3</v>
      </c>
      <c r="D429" s="51" t="s">
        <v>105</v>
      </c>
      <c r="K429" s="35" t="s">
        <v>48</v>
      </c>
      <c r="N429" s="26" t="s">
        <v>644</v>
      </c>
      <c r="O429" s="27" t="s">
        <v>645</v>
      </c>
      <c r="X429" s="80" t="s">
        <v>608</v>
      </c>
      <c r="Y429" s="80"/>
      <c r="AD429" s="40">
        <f>AD316</f>
        <v>21.2</v>
      </c>
      <c r="AE429" s="38" t="s">
        <v>105</v>
      </c>
      <c r="AF429" s="26" t="s">
        <v>276</v>
      </c>
      <c r="AG429" s="40">
        <f t="shared" si="36"/>
        <v>576.79999999999995</v>
      </c>
      <c r="AH429" s="26" t="s">
        <v>105</v>
      </c>
      <c r="AI429" s="40">
        <f>(AD429*AG429)</f>
        <v>12228.159999999998</v>
      </c>
    </row>
    <row r="430" spans="1:37" ht="34.5" customHeight="1">
      <c r="A430" s="50">
        <f t="shared" si="35"/>
        <v>264</v>
      </c>
      <c r="B430" s="122" t="s">
        <v>646</v>
      </c>
      <c r="C430" s="121">
        <v>558</v>
      </c>
      <c r="D430" s="122" t="s">
        <v>105</v>
      </c>
      <c r="H430" s="26" t="s">
        <v>401</v>
      </c>
      <c r="K430" s="40">
        <f>SUM(K426:K428)</f>
        <v>6136.7003320000003</v>
      </c>
      <c r="O430" s="35" t="s">
        <v>48</v>
      </c>
      <c r="U430" s="28" t="s">
        <v>401</v>
      </c>
      <c r="X430" s="28">
        <f>SUM(X426:X428)</f>
        <v>6599.5928319999985</v>
      </c>
      <c r="AD430" s="40">
        <f>AD317</f>
        <v>0</v>
      </c>
      <c r="AE430" s="38" t="s">
        <v>106</v>
      </c>
      <c r="AF430" s="26" t="s">
        <v>107</v>
      </c>
      <c r="AG430" s="26" t="s">
        <v>27</v>
      </c>
      <c r="AH430" s="26" t="s">
        <v>106</v>
      </c>
      <c r="AI430" s="40">
        <v>0</v>
      </c>
    </row>
    <row r="431" spans="1:37" ht="24" customHeight="1">
      <c r="A431" s="50">
        <f t="shared" si="35"/>
        <v>265</v>
      </c>
      <c r="B431" s="51" t="s">
        <v>647</v>
      </c>
      <c r="C431" s="66"/>
      <c r="D431" s="51" t="s">
        <v>27</v>
      </c>
      <c r="K431" s="35" t="s">
        <v>48</v>
      </c>
      <c r="M431" s="40">
        <v>8.1</v>
      </c>
      <c r="N431" s="26" t="s">
        <v>93</v>
      </c>
      <c r="O431" s="26" t="s">
        <v>648</v>
      </c>
      <c r="P431" s="40">
        <f>(C61)*2</f>
        <v>235.2</v>
      </c>
      <c r="Q431" s="26" t="s">
        <v>93</v>
      </c>
      <c r="R431" s="40">
        <f>(M431*P431)</f>
        <v>1905.12</v>
      </c>
      <c r="X431" s="80" t="s">
        <v>608</v>
      </c>
      <c r="Y431" s="80"/>
      <c r="AD431" s="40">
        <f>AD318</f>
        <v>0</v>
      </c>
      <c r="AE431" s="29"/>
      <c r="AH431" s="31"/>
      <c r="AI431" s="35" t="s">
        <v>48</v>
      </c>
    </row>
    <row r="432" spans="1:37" ht="30.75" customHeight="1">
      <c r="A432" s="50">
        <f t="shared" si="35"/>
        <v>266</v>
      </c>
      <c r="B432" s="51" t="s">
        <v>620</v>
      </c>
      <c r="C432" s="52">
        <v>1.8</v>
      </c>
      <c r="D432" s="51" t="s">
        <v>105</v>
      </c>
      <c r="H432" s="26" t="s">
        <v>403</v>
      </c>
      <c r="K432" s="40">
        <f>(K430/10)</f>
        <v>613.67003320000003</v>
      </c>
      <c r="M432" s="40">
        <v>8.1</v>
      </c>
      <c r="N432" s="26" t="s">
        <v>93</v>
      </c>
      <c r="O432" s="26" t="s">
        <v>649</v>
      </c>
      <c r="P432" s="40">
        <f>(C26)</f>
        <v>41.019999999999996</v>
      </c>
      <c r="Q432" s="26" t="s">
        <v>93</v>
      </c>
      <c r="R432" s="40">
        <f>(M432*P432)</f>
        <v>332.26199999999994</v>
      </c>
      <c r="U432" s="28" t="s">
        <v>403</v>
      </c>
      <c r="X432" s="28">
        <f>X430/10</f>
        <v>659.95928319999985</v>
      </c>
      <c r="AD432" s="40">
        <f>AD319</f>
        <v>0</v>
      </c>
      <c r="AE432" s="29"/>
      <c r="AF432" s="26" t="s">
        <v>280</v>
      </c>
      <c r="AH432" s="31"/>
      <c r="AI432" s="40">
        <f>SUM(AI424:AI431)</f>
        <v>75040.770799999998</v>
      </c>
    </row>
    <row r="433" spans="1:35" ht="42" customHeight="1">
      <c r="A433" s="50">
        <f t="shared" si="35"/>
        <v>267</v>
      </c>
      <c r="B433" s="51" t="s">
        <v>613</v>
      </c>
      <c r="C433" s="52">
        <v>2.9</v>
      </c>
      <c r="D433" s="51" t="s">
        <v>105</v>
      </c>
      <c r="K433" s="35" t="s">
        <v>41</v>
      </c>
      <c r="M433" s="40">
        <v>30</v>
      </c>
      <c r="N433" s="26" t="s">
        <v>244</v>
      </c>
      <c r="O433" s="26" t="s">
        <v>650</v>
      </c>
      <c r="P433" s="40">
        <f>(C42)</f>
        <v>5</v>
      </c>
      <c r="Q433" s="26" t="s">
        <v>244</v>
      </c>
      <c r="R433" s="40">
        <f>(M433*P433)</f>
        <v>150</v>
      </c>
      <c r="X433" s="80" t="s">
        <v>611</v>
      </c>
      <c r="Y433" s="80"/>
      <c r="AE433" s="29"/>
      <c r="AH433" s="31"/>
      <c r="AI433" s="35" t="s">
        <v>48</v>
      </c>
    </row>
    <row r="434" spans="1:35" ht="24" customHeight="1">
      <c r="A434" s="50">
        <f t="shared" si="35"/>
        <v>268</v>
      </c>
      <c r="B434" s="51" t="s">
        <v>615</v>
      </c>
      <c r="C434" s="52">
        <v>4</v>
      </c>
      <c r="D434" s="51" t="s">
        <v>105</v>
      </c>
      <c r="H434" s="26" t="s">
        <v>309</v>
      </c>
      <c r="K434" s="39">
        <f>(K432+C19/10*F426)</f>
        <v>619.47163320000004</v>
      </c>
      <c r="O434" s="26" t="s">
        <v>651</v>
      </c>
      <c r="U434" s="41" t="s">
        <v>309</v>
      </c>
      <c r="W434" s="28">
        <f>0.07*C19</f>
        <v>5.8016000000000005</v>
      </c>
      <c r="X434" s="41">
        <f>X432+W434</f>
        <v>665.76088319999985</v>
      </c>
      <c r="Y434" s="41"/>
      <c r="AE434" s="29"/>
      <c r="AF434" s="26" t="s">
        <v>201</v>
      </c>
      <c r="AH434" s="31"/>
      <c r="AI434" s="40">
        <f>(AI432/10)</f>
        <v>7504.07708</v>
      </c>
    </row>
    <row r="435" spans="1:35" ht="24" customHeight="1">
      <c r="A435" s="50">
        <f t="shared" si="35"/>
        <v>269</v>
      </c>
      <c r="B435" s="51" t="s">
        <v>616</v>
      </c>
      <c r="C435" s="52">
        <v>6.86</v>
      </c>
      <c r="D435" s="51" t="s">
        <v>105</v>
      </c>
      <c r="H435" s="26" t="s">
        <v>313</v>
      </c>
      <c r="K435" s="39">
        <f>(K434+C20/10*F426)</f>
        <v>631.16303320000009</v>
      </c>
      <c r="O435" s="26" t="s">
        <v>652</v>
      </c>
      <c r="U435" s="41" t="s">
        <v>313</v>
      </c>
      <c r="W435" s="28">
        <f>0.07*C20</f>
        <v>11.6914</v>
      </c>
      <c r="X435" s="41">
        <f>X434+W435</f>
        <v>677.4522831999999</v>
      </c>
      <c r="Y435" s="41"/>
      <c r="AE435" s="29"/>
      <c r="AH435" s="31"/>
      <c r="AI435" s="35" t="s">
        <v>41</v>
      </c>
    </row>
    <row r="436" spans="1:35" ht="24" customHeight="1">
      <c r="A436" s="50">
        <f t="shared" si="35"/>
        <v>270</v>
      </c>
      <c r="B436" s="51" t="s">
        <v>617</v>
      </c>
      <c r="C436" s="52">
        <v>9.15</v>
      </c>
      <c r="D436" s="51" t="s">
        <v>105</v>
      </c>
      <c r="H436" s="26" t="s">
        <v>316</v>
      </c>
      <c r="K436" s="39">
        <f>(K435+C21/10*F426)</f>
        <v>642.85443320000013</v>
      </c>
      <c r="O436" s="26" t="s">
        <v>653</v>
      </c>
      <c r="U436" s="41" t="s">
        <v>316</v>
      </c>
      <c r="W436" s="28">
        <f>W435</f>
        <v>11.6914</v>
      </c>
      <c r="X436" s="41">
        <f>X435+W436</f>
        <v>689.14368319999994</v>
      </c>
      <c r="Y436" s="41"/>
      <c r="AD436" s="26" t="s">
        <v>49</v>
      </c>
      <c r="AE436" s="29"/>
      <c r="AH436" s="31"/>
    </row>
    <row r="437" spans="1:35" ht="24" customHeight="1">
      <c r="A437" s="50">
        <f t="shared" si="35"/>
        <v>271</v>
      </c>
      <c r="B437" s="51" t="s">
        <v>561</v>
      </c>
      <c r="C437" s="52">
        <v>14.59</v>
      </c>
      <c r="D437" s="51" t="s">
        <v>105</v>
      </c>
      <c r="H437" s="26" t="s">
        <v>318</v>
      </c>
      <c r="K437" s="39">
        <f>(K436+C21/10*F426)</f>
        <v>654.54583320000017</v>
      </c>
      <c r="O437" s="26" t="s">
        <v>654</v>
      </c>
      <c r="U437" s="41" t="s">
        <v>318</v>
      </c>
      <c r="W437" s="28">
        <f>W436</f>
        <v>11.6914</v>
      </c>
      <c r="X437" s="41">
        <f>X436+W437</f>
        <v>700.83508319999999</v>
      </c>
      <c r="Y437" s="41"/>
      <c r="AE437" s="29"/>
      <c r="AH437" s="31"/>
    </row>
    <row r="438" spans="1:35" ht="24" customHeight="1">
      <c r="A438" s="50"/>
      <c r="B438" s="51"/>
      <c r="C438" s="52"/>
      <c r="D438" s="51"/>
      <c r="H438" s="26" t="s">
        <v>426</v>
      </c>
      <c r="K438" s="39">
        <f>(K437+C20/10*F426)</f>
        <v>666.23723320000022</v>
      </c>
      <c r="O438" s="26"/>
      <c r="U438" s="41" t="s">
        <v>426</v>
      </c>
      <c r="W438" s="28">
        <f>W437</f>
        <v>11.6914</v>
      </c>
      <c r="X438" s="41">
        <f>X437+W438</f>
        <v>712.52648320000003</v>
      </c>
      <c r="Y438" s="41"/>
      <c r="AE438" s="38" t="s">
        <v>420</v>
      </c>
      <c r="AF438" s="26" t="s">
        <v>655</v>
      </c>
      <c r="AH438" s="31"/>
    </row>
    <row r="439" spans="1:35" ht="24" customHeight="1">
      <c r="A439" s="50">
        <f>(A437+1)</f>
        <v>272</v>
      </c>
      <c r="B439" s="51" t="s">
        <v>646</v>
      </c>
      <c r="C439" s="52">
        <v>21.74</v>
      </c>
      <c r="D439" s="51" t="s">
        <v>105</v>
      </c>
      <c r="H439" s="27" t="s">
        <v>656</v>
      </c>
      <c r="M439" s="40">
        <v>8</v>
      </c>
      <c r="N439" s="26" t="s">
        <v>196</v>
      </c>
      <c r="O439" s="26" t="s">
        <v>657</v>
      </c>
      <c r="P439" s="40">
        <f>(C43)</f>
        <v>7.1</v>
      </c>
      <c r="Q439" s="26" t="s">
        <v>196</v>
      </c>
      <c r="R439" s="40">
        <f>(M439*P439)</f>
        <v>56.8</v>
      </c>
      <c r="AE439" s="29"/>
      <c r="AF439" s="35" t="s">
        <v>48</v>
      </c>
      <c r="AH439" s="31"/>
    </row>
    <row r="440" spans="1:35" ht="24" customHeight="1">
      <c r="A440" s="50">
        <f t="shared" si="35"/>
        <v>273</v>
      </c>
      <c r="B440" s="123" t="s">
        <v>658</v>
      </c>
      <c r="C440" s="66"/>
      <c r="D440" s="51" t="s">
        <v>27</v>
      </c>
      <c r="H440" s="27" t="s">
        <v>659</v>
      </c>
      <c r="M440" s="40">
        <v>8</v>
      </c>
      <c r="N440" s="26" t="s">
        <v>196</v>
      </c>
      <c r="O440" s="26" t="s">
        <v>660</v>
      </c>
      <c r="P440" s="40">
        <f>(C50)</f>
        <v>10</v>
      </c>
      <c r="Q440" s="26" t="s">
        <v>196</v>
      </c>
      <c r="R440" s="40">
        <f>(M440*P440)</f>
        <v>80</v>
      </c>
      <c r="AD440" s="40">
        <v>0.75</v>
      </c>
      <c r="AE440" s="38" t="s">
        <v>93</v>
      </c>
      <c r="AF440" s="26" t="s">
        <v>422</v>
      </c>
      <c r="AG440" s="40">
        <f>AI434</f>
        <v>7504.07708</v>
      </c>
      <c r="AH440" s="26" t="s">
        <v>105</v>
      </c>
      <c r="AI440" s="40">
        <f>(AD440*AG440)</f>
        <v>5628.0578100000002</v>
      </c>
    </row>
    <row r="441" spans="1:35" ht="38.25" customHeight="1">
      <c r="A441" s="50">
        <f t="shared" si="35"/>
        <v>274</v>
      </c>
      <c r="B441" s="51" t="s">
        <v>620</v>
      </c>
      <c r="C441" s="49">
        <v>28.6</v>
      </c>
      <c r="D441" s="51" t="s">
        <v>105</v>
      </c>
      <c r="F441" s="64">
        <v>12</v>
      </c>
      <c r="G441" s="38" t="s">
        <v>67</v>
      </c>
      <c r="H441" s="26" t="s">
        <v>661</v>
      </c>
      <c r="M441" s="40">
        <v>1</v>
      </c>
      <c r="N441" s="26" t="s">
        <v>106</v>
      </c>
      <c r="O441" s="26" t="s">
        <v>662</v>
      </c>
      <c r="P441" s="40">
        <f>(C56)</f>
        <v>12.1</v>
      </c>
      <c r="Q441" s="26" t="s">
        <v>106</v>
      </c>
      <c r="R441" s="40">
        <f>(M441*P441)</f>
        <v>12.1</v>
      </c>
      <c r="AD441" s="40">
        <v>1</v>
      </c>
      <c r="AE441" s="38" t="s">
        <v>196</v>
      </c>
      <c r="AF441" s="26" t="s">
        <v>298</v>
      </c>
      <c r="AG441" s="40">
        <f>AG426</f>
        <v>1076.5999999999999</v>
      </c>
      <c r="AH441" s="26" t="s">
        <v>105</v>
      </c>
      <c r="AI441" s="40">
        <f>(AD441*AG441)</f>
        <v>1076.5999999999999</v>
      </c>
    </row>
    <row r="442" spans="1:35" ht="24" customHeight="1">
      <c r="A442" s="50">
        <f t="shared" si="35"/>
        <v>275</v>
      </c>
      <c r="B442" s="51" t="s">
        <v>613</v>
      </c>
      <c r="C442" s="49">
        <v>34.700000000000003</v>
      </c>
      <c r="D442" s="51" t="s">
        <v>105</v>
      </c>
      <c r="H442" s="26" t="s">
        <v>321</v>
      </c>
      <c r="M442" s="40">
        <v>1</v>
      </c>
      <c r="N442" s="26" t="s">
        <v>106</v>
      </c>
      <c r="O442" s="26" t="s">
        <v>107</v>
      </c>
      <c r="Q442" s="26" t="s">
        <v>106</v>
      </c>
      <c r="R442" s="40">
        <v>0</v>
      </c>
      <c r="AE442" s="38" t="s">
        <v>106</v>
      </c>
      <c r="AF442" s="26" t="s">
        <v>107</v>
      </c>
      <c r="AG442" s="26" t="s">
        <v>27</v>
      </c>
      <c r="AH442" s="26" t="s">
        <v>106</v>
      </c>
      <c r="AI442" s="40">
        <v>0</v>
      </c>
    </row>
    <row r="443" spans="1:35" ht="24" customHeight="1">
      <c r="A443" s="50">
        <f t="shared" si="35"/>
        <v>276</v>
      </c>
      <c r="B443" s="51" t="s">
        <v>615</v>
      </c>
      <c r="C443" s="49">
        <v>81.400000000000006</v>
      </c>
      <c r="D443" s="51" t="s">
        <v>105</v>
      </c>
      <c r="H443" s="35" t="s">
        <v>48</v>
      </c>
      <c r="R443" s="35" t="s">
        <v>48</v>
      </c>
      <c r="AE443" s="29"/>
      <c r="AH443" s="31"/>
      <c r="AI443" s="35" t="s">
        <v>48</v>
      </c>
    </row>
    <row r="444" spans="1:35" ht="24" customHeight="1">
      <c r="A444" s="50">
        <f t="shared" si="35"/>
        <v>277</v>
      </c>
      <c r="B444" s="51" t="s">
        <v>616</v>
      </c>
      <c r="C444" s="49">
        <v>98.6</v>
      </c>
      <c r="D444" s="51" t="s">
        <v>105</v>
      </c>
      <c r="F444" s="40">
        <v>6570</v>
      </c>
      <c r="G444" s="38" t="s">
        <v>293</v>
      </c>
      <c r="H444" s="26" t="s">
        <v>663</v>
      </c>
      <c r="I444" s="40">
        <f>(C77)</f>
        <v>5424.65</v>
      </c>
      <c r="J444" s="26" t="s">
        <v>294</v>
      </c>
      <c r="K444" s="40">
        <f>(F444*I444)/1000</f>
        <v>35639.950499999999</v>
      </c>
      <c r="O444" s="26" t="s">
        <v>664</v>
      </c>
      <c r="R444" s="40">
        <f>SUM(R431:R442)</f>
        <v>2536.2819999999997</v>
      </c>
      <c r="AE444" s="29"/>
      <c r="AF444" s="26" t="s">
        <v>401</v>
      </c>
      <c r="AH444" s="31"/>
      <c r="AI444" s="40">
        <f>SUM(AI440:AI442)</f>
        <v>6704.6578100000006</v>
      </c>
    </row>
    <row r="445" spans="1:35" ht="24" customHeight="1">
      <c r="A445" s="50">
        <f t="shared" si="35"/>
        <v>278</v>
      </c>
      <c r="B445" s="51" t="s">
        <v>617</v>
      </c>
      <c r="C445" s="49">
        <v>110.2</v>
      </c>
      <c r="D445" s="51" t="s">
        <v>105</v>
      </c>
      <c r="F445" s="40">
        <v>1.91</v>
      </c>
      <c r="G445" s="38" t="s">
        <v>93</v>
      </c>
      <c r="H445" s="26" t="s">
        <v>218</v>
      </c>
      <c r="I445" s="40">
        <f>(K40)</f>
        <v>4975.6400000000003</v>
      </c>
      <c r="J445" s="26" t="s">
        <v>93</v>
      </c>
      <c r="K445" s="40">
        <f>(F445*I445)</f>
        <v>9503.4724000000006</v>
      </c>
      <c r="R445" s="35" t="s">
        <v>48</v>
      </c>
      <c r="AE445" s="29"/>
      <c r="AH445" s="31"/>
      <c r="AI445" s="35" t="s">
        <v>48</v>
      </c>
    </row>
    <row r="446" spans="1:35" ht="24" customHeight="1">
      <c r="A446" s="50">
        <f t="shared" si="35"/>
        <v>279</v>
      </c>
      <c r="B446" s="51" t="s">
        <v>561</v>
      </c>
      <c r="C446" s="49">
        <v>139.80000000000001</v>
      </c>
      <c r="D446" s="51" t="s">
        <v>105</v>
      </c>
      <c r="F446" s="40">
        <v>7</v>
      </c>
      <c r="G446" s="38" t="s">
        <v>105</v>
      </c>
      <c r="H446" s="26" t="s">
        <v>298</v>
      </c>
      <c r="I446" s="40">
        <f>(C10)</f>
        <v>1076.5999999999999</v>
      </c>
      <c r="J446" s="26" t="s">
        <v>105</v>
      </c>
      <c r="K446" s="40">
        <f>(F446*I446)</f>
        <v>7536.1999999999989</v>
      </c>
      <c r="O446" s="26" t="s">
        <v>665</v>
      </c>
      <c r="R446" s="40">
        <f>(R444/30)</f>
        <v>84.542733333333317</v>
      </c>
      <c r="AE446" s="29"/>
      <c r="AF446" s="26" t="s">
        <v>403</v>
      </c>
      <c r="AH446" s="31"/>
      <c r="AI446" s="40">
        <f>(AI444/10)</f>
        <v>670.46578100000011</v>
      </c>
    </row>
    <row r="447" spans="1:35" ht="24" customHeight="1">
      <c r="A447" s="50">
        <f t="shared" si="35"/>
        <v>280</v>
      </c>
      <c r="B447" s="122" t="s">
        <v>666</v>
      </c>
      <c r="C447" s="121">
        <v>368</v>
      </c>
      <c r="D447" s="122" t="s">
        <v>105</v>
      </c>
      <c r="F447" s="40">
        <v>3.6</v>
      </c>
      <c r="G447" s="38" t="s">
        <v>105</v>
      </c>
      <c r="H447" s="26" t="s">
        <v>269</v>
      </c>
      <c r="I447" s="40">
        <f>(C11)</f>
        <v>1005.1999999999999</v>
      </c>
      <c r="J447" s="26" t="s">
        <v>105</v>
      </c>
      <c r="K447" s="40">
        <f>(F447*I447)</f>
        <v>3618.72</v>
      </c>
      <c r="R447" s="35" t="s">
        <v>48</v>
      </c>
      <c r="AE447" s="29"/>
      <c r="AH447" s="31"/>
      <c r="AI447" s="35" t="s">
        <v>41</v>
      </c>
    </row>
    <row r="448" spans="1:35" ht="24" customHeight="1">
      <c r="A448" s="50">
        <f t="shared" si="35"/>
        <v>281</v>
      </c>
      <c r="B448" s="123" t="s">
        <v>667</v>
      </c>
      <c r="C448" s="66"/>
      <c r="D448" s="51" t="s">
        <v>27</v>
      </c>
      <c r="F448" s="40">
        <v>7.1</v>
      </c>
      <c r="G448" s="38" t="s">
        <v>105</v>
      </c>
      <c r="H448" s="26" t="s">
        <v>271</v>
      </c>
      <c r="I448" s="40">
        <f>(C12)</f>
        <v>702.8</v>
      </c>
      <c r="J448" s="26" t="s">
        <v>105</v>
      </c>
      <c r="K448" s="40">
        <f>(F448*I448)</f>
        <v>4989.8799999999992</v>
      </c>
      <c r="N448" s="26" t="s">
        <v>668</v>
      </c>
      <c r="O448" s="27" t="s">
        <v>669</v>
      </c>
      <c r="AE448" s="29"/>
      <c r="AF448" s="26" t="s">
        <v>309</v>
      </c>
      <c r="AH448" s="31">
        <f>C19*0.075</f>
        <v>6.2159999999999993</v>
      </c>
      <c r="AI448" s="39">
        <f>AI446+AH448</f>
        <v>676.68178100000011</v>
      </c>
    </row>
    <row r="449" spans="1:38" ht="24" customHeight="1">
      <c r="A449" s="50">
        <f t="shared" si="35"/>
        <v>282</v>
      </c>
      <c r="B449" s="51" t="s">
        <v>620</v>
      </c>
      <c r="C449" s="49">
        <v>23.2</v>
      </c>
      <c r="D449" s="51" t="s">
        <v>105</v>
      </c>
      <c r="F449" s="40">
        <v>14.1</v>
      </c>
      <c r="G449" s="38" t="s">
        <v>105</v>
      </c>
      <c r="H449" s="26" t="s">
        <v>276</v>
      </c>
      <c r="I449" s="40">
        <f>(C13)</f>
        <v>576.79999999999995</v>
      </c>
      <c r="J449" s="26" t="s">
        <v>105</v>
      </c>
      <c r="K449" s="40">
        <f>(F449*I449)</f>
        <v>8132.8799999999992</v>
      </c>
      <c r="O449" s="35" t="s">
        <v>48</v>
      </c>
      <c r="AE449" s="29"/>
      <c r="AF449" s="26" t="s">
        <v>313</v>
      </c>
      <c r="AH449" s="31">
        <f>C20*0.075</f>
        <v>12.526499999999999</v>
      </c>
      <c r="AI449" s="39">
        <f t="shared" ref="AI449:AI458" si="37">AI448+AH449</f>
        <v>689.20828100000017</v>
      </c>
    </row>
    <row r="450" spans="1:38" ht="39" customHeight="1">
      <c r="A450" s="50">
        <f t="shared" si="35"/>
        <v>283</v>
      </c>
      <c r="B450" s="51" t="s">
        <v>613</v>
      </c>
      <c r="C450" s="49">
        <v>34.700000000000003</v>
      </c>
      <c r="D450" s="51" t="s">
        <v>105</v>
      </c>
      <c r="G450" s="38" t="s">
        <v>106</v>
      </c>
      <c r="H450" s="26" t="s">
        <v>107</v>
      </c>
      <c r="I450" s="26" t="s">
        <v>27</v>
      </c>
      <c r="J450" s="26" t="s">
        <v>106</v>
      </c>
      <c r="K450" s="40">
        <v>0</v>
      </c>
      <c r="M450" s="40">
        <v>8.1</v>
      </c>
      <c r="N450" s="26" t="s">
        <v>93</v>
      </c>
      <c r="O450" s="26" t="s">
        <v>648</v>
      </c>
      <c r="P450" s="40">
        <f>(C61)*2</f>
        <v>235.2</v>
      </c>
      <c r="Q450" s="26" t="s">
        <v>93</v>
      </c>
      <c r="R450" s="40">
        <f>(M450*P450)</f>
        <v>1905.12</v>
      </c>
      <c r="AE450" s="29"/>
      <c r="AF450" s="26" t="s">
        <v>316</v>
      </c>
      <c r="AH450" s="31">
        <f>C21*0.075</f>
        <v>12.526499999999999</v>
      </c>
      <c r="AI450" s="39">
        <f t="shared" si="37"/>
        <v>701.73478100000011</v>
      </c>
    </row>
    <row r="451" spans="1:38" ht="24" customHeight="1">
      <c r="A451" s="50">
        <f t="shared" si="35"/>
        <v>284</v>
      </c>
      <c r="B451" s="51" t="s">
        <v>615</v>
      </c>
      <c r="C451" s="49">
        <v>43.7</v>
      </c>
      <c r="D451" s="51" t="s">
        <v>105</v>
      </c>
      <c r="K451" s="35" t="s">
        <v>48</v>
      </c>
      <c r="M451" s="40">
        <v>8.1</v>
      </c>
      <c r="N451" s="26" t="s">
        <v>93</v>
      </c>
      <c r="O451" s="26" t="s">
        <v>649</v>
      </c>
      <c r="P451" s="40">
        <f>(C26)</f>
        <v>41.019999999999996</v>
      </c>
      <c r="Q451" s="26" t="s">
        <v>93</v>
      </c>
      <c r="R451" s="40">
        <f>(M451*P451)</f>
        <v>332.26199999999994</v>
      </c>
      <c r="AE451" s="29"/>
      <c r="AF451" s="26" t="s">
        <v>318</v>
      </c>
      <c r="AH451" s="31">
        <f t="shared" ref="AH451:AH458" si="38">AH450</f>
        <v>12.526499999999999</v>
      </c>
      <c r="AI451" s="39">
        <f t="shared" si="37"/>
        <v>714.26128100000005</v>
      </c>
    </row>
    <row r="452" spans="1:38" ht="24" customHeight="1">
      <c r="A452" s="50">
        <f t="shared" si="35"/>
        <v>285</v>
      </c>
      <c r="B452" s="51" t="s">
        <v>616</v>
      </c>
      <c r="C452" s="49">
        <v>58.1</v>
      </c>
      <c r="D452" s="51" t="s">
        <v>105</v>
      </c>
      <c r="H452" s="26" t="s">
        <v>280</v>
      </c>
      <c r="K452" s="40">
        <f>SUM(K444:K450)</f>
        <v>69421.102899999998</v>
      </c>
      <c r="M452" s="40">
        <v>30</v>
      </c>
      <c r="N452" s="26" t="s">
        <v>244</v>
      </c>
      <c r="O452" s="26" t="s">
        <v>650</v>
      </c>
      <c r="P452" s="40">
        <f>(C42)</f>
        <v>5</v>
      </c>
      <c r="Q452" s="26" t="s">
        <v>244</v>
      </c>
      <c r="R452" s="40">
        <f>(M452*P452)</f>
        <v>150</v>
      </c>
      <c r="AE452" s="29"/>
      <c r="AF452" s="26" t="s">
        <v>426</v>
      </c>
      <c r="AH452" s="31">
        <f t="shared" si="38"/>
        <v>12.526499999999999</v>
      </c>
      <c r="AI452" s="39">
        <f t="shared" si="37"/>
        <v>726.787781</v>
      </c>
      <c r="AL452" s="28">
        <f>40.81*0.075</f>
        <v>3.0607500000000001</v>
      </c>
    </row>
    <row r="453" spans="1:38" ht="24" customHeight="1">
      <c r="A453" s="50">
        <f t="shared" si="35"/>
        <v>286</v>
      </c>
      <c r="B453" s="51" t="s">
        <v>617</v>
      </c>
      <c r="C453" s="49">
        <v>69.8</v>
      </c>
      <c r="D453" s="51" t="s">
        <v>105</v>
      </c>
      <c r="K453" s="35" t="s">
        <v>48</v>
      </c>
      <c r="O453" s="26" t="s">
        <v>651</v>
      </c>
      <c r="AF453" s="26" t="s">
        <v>632</v>
      </c>
      <c r="AG453" s="47">
        <f t="shared" ref="AG453:AG458" si="39">AI453</f>
        <v>739.31428099999994</v>
      </c>
      <c r="AH453" s="31">
        <f t="shared" si="38"/>
        <v>12.526499999999999</v>
      </c>
      <c r="AI453" s="39">
        <f t="shared" si="37"/>
        <v>739.31428099999994</v>
      </c>
    </row>
    <row r="454" spans="1:38" ht="24" customHeight="1">
      <c r="A454" s="50">
        <f t="shared" si="35"/>
        <v>287</v>
      </c>
      <c r="B454" s="51" t="s">
        <v>561</v>
      </c>
      <c r="C454" s="49">
        <v>87</v>
      </c>
      <c r="D454" s="51" t="s">
        <v>105</v>
      </c>
      <c r="H454" s="26" t="s">
        <v>201</v>
      </c>
      <c r="K454" s="40">
        <f>(K452/10)</f>
        <v>6942.1102899999996</v>
      </c>
      <c r="O454" s="26" t="s">
        <v>652</v>
      </c>
      <c r="AF454" s="26" t="s">
        <v>633</v>
      </c>
      <c r="AG454" s="47">
        <f t="shared" si="39"/>
        <v>751.84078099999988</v>
      </c>
      <c r="AH454" s="31">
        <f t="shared" si="38"/>
        <v>12.526499999999999</v>
      </c>
      <c r="AI454" s="39">
        <f t="shared" si="37"/>
        <v>751.84078099999988</v>
      </c>
    </row>
    <row r="455" spans="1:38" ht="24" customHeight="1">
      <c r="A455" s="50">
        <f t="shared" si="35"/>
        <v>288</v>
      </c>
      <c r="B455" s="122" t="s">
        <v>666</v>
      </c>
      <c r="C455" s="121">
        <v>183</v>
      </c>
      <c r="D455" s="122" t="s">
        <v>105</v>
      </c>
      <c r="K455" s="35" t="s">
        <v>41</v>
      </c>
      <c r="O455" s="26" t="s">
        <v>653</v>
      </c>
      <c r="AF455" s="26" t="s">
        <v>634</v>
      </c>
      <c r="AG455" s="47">
        <f t="shared" si="39"/>
        <v>764.36728099999982</v>
      </c>
      <c r="AH455" s="31">
        <f t="shared" si="38"/>
        <v>12.526499999999999</v>
      </c>
      <c r="AI455" s="39">
        <f t="shared" si="37"/>
        <v>764.36728099999982</v>
      </c>
    </row>
    <row r="456" spans="1:38" ht="24" customHeight="1">
      <c r="A456" s="50">
        <f t="shared" si="35"/>
        <v>289</v>
      </c>
      <c r="B456" s="51" t="s">
        <v>670</v>
      </c>
      <c r="C456" s="66"/>
      <c r="D456" s="51" t="s">
        <v>27</v>
      </c>
      <c r="O456" s="26" t="s">
        <v>654</v>
      </c>
      <c r="AF456" s="26" t="s">
        <v>635</v>
      </c>
      <c r="AG456" s="47">
        <f t="shared" si="39"/>
        <v>776.89378099999976</v>
      </c>
      <c r="AH456" s="31">
        <f t="shared" si="38"/>
        <v>12.526499999999999</v>
      </c>
      <c r="AI456" s="39">
        <f t="shared" si="37"/>
        <v>776.89378099999976</v>
      </c>
    </row>
    <row r="457" spans="1:38" ht="24" customHeight="1">
      <c r="A457" s="50">
        <f t="shared" si="35"/>
        <v>290</v>
      </c>
      <c r="B457" s="51" t="s">
        <v>620</v>
      </c>
      <c r="C457" s="52">
        <v>158.91999999999999</v>
      </c>
      <c r="D457" s="51" t="s">
        <v>105</v>
      </c>
      <c r="G457" s="38" t="s">
        <v>67</v>
      </c>
      <c r="H457" s="26" t="s">
        <v>671</v>
      </c>
      <c r="M457" s="40">
        <v>8</v>
      </c>
      <c r="N457" s="26" t="s">
        <v>196</v>
      </c>
      <c r="O457" s="26" t="s">
        <v>657</v>
      </c>
      <c r="P457" s="40">
        <f>(C44)</f>
        <v>7.1</v>
      </c>
      <c r="Q457" s="26" t="s">
        <v>196</v>
      </c>
      <c r="R457" s="40">
        <f>(M457*P457)</f>
        <v>56.8</v>
      </c>
      <c r="AF457" s="26" t="s">
        <v>636</v>
      </c>
      <c r="AG457" s="47">
        <f t="shared" si="39"/>
        <v>789.4202809999997</v>
      </c>
      <c r="AH457" s="31">
        <f t="shared" si="38"/>
        <v>12.526499999999999</v>
      </c>
      <c r="AI457" s="39">
        <f t="shared" si="37"/>
        <v>789.4202809999997</v>
      </c>
    </row>
    <row r="458" spans="1:38" ht="24" customHeight="1">
      <c r="A458" s="50">
        <f t="shared" si="35"/>
        <v>291</v>
      </c>
      <c r="B458" s="51" t="s">
        <v>613</v>
      </c>
      <c r="C458" s="52">
        <v>263.04000000000002</v>
      </c>
      <c r="D458" s="51" t="s">
        <v>105</v>
      </c>
      <c r="H458" s="35" t="s">
        <v>48</v>
      </c>
      <c r="M458" s="40">
        <v>8</v>
      </c>
      <c r="N458" s="26" t="s">
        <v>196</v>
      </c>
      <c r="O458" s="26" t="s">
        <v>660</v>
      </c>
      <c r="P458" s="40">
        <f>(C51)</f>
        <v>10.199999999999999</v>
      </c>
      <c r="Q458" s="26" t="s">
        <v>196</v>
      </c>
      <c r="R458" s="40">
        <f>(M458*P458)</f>
        <v>81.599999999999994</v>
      </c>
      <c r="AG458" s="47">
        <f t="shared" si="39"/>
        <v>801.94678099999965</v>
      </c>
      <c r="AH458" s="31">
        <f t="shared" si="38"/>
        <v>12.526499999999999</v>
      </c>
      <c r="AI458" s="39">
        <f t="shared" si="37"/>
        <v>801.94678099999965</v>
      </c>
    </row>
    <row r="459" spans="1:38" ht="24" customHeight="1">
      <c r="A459" s="50">
        <f t="shared" si="35"/>
        <v>292</v>
      </c>
      <c r="B459" s="51" t="s">
        <v>615</v>
      </c>
      <c r="C459" s="66"/>
      <c r="D459" s="51" t="s">
        <v>27</v>
      </c>
      <c r="F459" s="40">
        <v>0.5</v>
      </c>
      <c r="G459" s="38" t="s">
        <v>93</v>
      </c>
      <c r="H459" s="26" t="s">
        <v>422</v>
      </c>
      <c r="I459" s="40">
        <f>(K454)</f>
        <v>6942.1102899999996</v>
      </c>
      <c r="J459" s="26" t="s">
        <v>105</v>
      </c>
      <c r="K459" s="40">
        <f>(F459*I459)</f>
        <v>3471.0551449999998</v>
      </c>
      <c r="M459" s="40">
        <v>1</v>
      </c>
      <c r="N459" s="26" t="s">
        <v>106</v>
      </c>
      <c r="O459" s="26" t="s">
        <v>662</v>
      </c>
      <c r="P459" s="40">
        <f>(C56)</f>
        <v>12.1</v>
      </c>
      <c r="Q459" s="26" t="s">
        <v>106</v>
      </c>
      <c r="R459" s="40">
        <f>(M459*P459)</f>
        <v>12.1</v>
      </c>
      <c r="U459" s="124" t="s">
        <v>672</v>
      </c>
      <c r="Z459" s="32"/>
      <c r="AC459" s="124" t="s">
        <v>673</v>
      </c>
      <c r="AG459" s="47">
        <f>AI459</f>
        <v>814.47328099999959</v>
      </c>
      <c r="AH459" s="31">
        <f>AH458</f>
        <v>12.526499999999999</v>
      </c>
      <c r="AI459" s="39">
        <f>AI458+AH459</f>
        <v>814.47328099999959</v>
      </c>
    </row>
    <row r="460" spans="1:38" ht="24" customHeight="1">
      <c r="A460" s="50">
        <f t="shared" si="35"/>
        <v>293</v>
      </c>
      <c r="B460" s="51" t="s">
        <v>674</v>
      </c>
      <c r="C460" s="47">
        <v>3.2</v>
      </c>
      <c r="D460" s="51" t="s">
        <v>105</v>
      </c>
      <c r="F460" s="40">
        <v>1</v>
      </c>
      <c r="G460" s="38" t="s">
        <v>196</v>
      </c>
      <c r="H460" s="26" t="s">
        <v>298</v>
      </c>
      <c r="I460" s="40">
        <f>(C10)</f>
        <v>1076.5999999999999</v>
      </c>
      <c r="J460" s="26" t="s">
        <v>105</v>
      </c>
      <c r="K460" s="40">
        <f>(F460*I460)</f>
        <v>1076.5999999999999</v>
      </c>
      <c r="M460" s="40">
        <v>1</v>
      </c>
      <c r="N460" s="26" t="s">
        <v>106</v>
      </c>
      <c r="O460" s="26" t="s">
        <v>107</v>
      </c>
      <c r="Q460" s="26" t="s">
        <v>106</v>
      </c>
      <c r="R460" s="40">
        <v>0</v>
      </c>
      <c r="S460" s="27" t="s">
        <v>675</v>
      </c>
      <c r="T460" s="38" t="s">
        <v>67</v>
      </c>
      <c r="U460" s="26" t="s">
        <v>676</v>
      </c>
      <c r="W460" s="31"/>
      <c r="Z460" s="27" t="s">
        <v>675</v>
      </c>
      <c r="AA460" s="38" t="s">
        <v>67</v>
      </c>
      <c r="AB460" s="38"/>
      <c r="AC460" s="26" t="s">
        <v>676</v>
      </c>
      <c r="AE460" s="31"/>
      <c r="AG460" s="47">
        <f>AI460</f>
        <v>826.99978099999953</v>
      </c>
      <c r="AH460" s="31">
        <f>AH459</f>
        <v>12.526499999999999</v>
      </c>
      <c r="AI460" s="39">
        <f>AI459+AH460</f>
        <v>826.99978099999953</v>
      </c>
    </row>
    <row r="461" spans="1:38" ht="24" customHeight="1">
      <c r="A461" s="50">
        <f t="shared" si="35"/>
        <v>294</v>
      </c>
      <c r="B461" s="51" t="s">
        <v>677</v>
      </c>
      <c r="C461" s="47">
        <v>4</v>
      </c>
      <c r="D461" s="51" t="s">
        <v>105</v>
      </c>
      <c r="G461" s="38" t="s">
        <v>106</v>
      </c>
      <c r="H461" s="26" t="s">
        <v>107</v>
      </c>
      <c r="I461" s="26" t="s">
        <v>27</v>
      </c>
      <c r="J461" s="26" t="s">
        <v>106</v>
      </c>
      <c r="K461" s="40">
        <v>0</v>
      </c>
      <c r="R461" s="35" t="s">
        <v>48</v>
      </c>
      <c r="S461" s="28"/>
      <c r="T461" s="29"/>
      <c r="U461" s="26" t="s">
        <v>678</v>
      </c>
      <c r="W461" s="31"/>
      <c r="AA461" s="29"/>
      <c r="AB461" s="29"/>
      <c r="AC461" s="26" t="s">
        <v>678</v>
      </c>
      <c r="AE461" s="31"/>
      <c r="AG461" s="47">
        <f t="shared" ref="AG461:AG524" si="40">AI461</f>
        <v>839.52628099999947</v>
      </c>
      <c r="AH461" s="31">
        <f>AH460</f>
        <v>12.526499999999999</v>
      </c>
      <c r="AI461" s="39">
        <f>AI460+AH461</f>
        <v>839.52628099999947</v>
      </c>
    </row>
    <row r="462" spans="1:38" ht="24" customHeight="1">
      <c r="A462" s="50">
        <f t="shared" si="35"/>
        <v>295</v>
      </c>
      <c r="B462" s="51" t="s">
        <v>679</v>
      </c>
      <c r="C462" s="52">
        <v>350</v>
      </c>
      <c r="D462" s="52">
        <v>375</v>
      </c>
      <c r="K462" s="35" t="s">
        <v>48</v>
      </c>
      <c r="O462" s="26" t="s">
        <v>664</v>
      </c>
      <c r="R462" s="40">
        <f>SUM(R450:R460)</f>
        <v>2537.8819999999996</v>
      </c>
      <c r="S462" s="28"/>
      <c r="T462" s="29"/>
      <c r="U462" s="26" t="s">
        <v>680</v>
      </c>
      <c r="W462" s="31"/>
      <c r="AA462" s="29"/>
      <c r="AB462" s="29"/>
      <c r="AC462" s="26" t="s">
        <v>680</v>
      </c>
      <c r="AE462" s="31"/>
      <c r="AG462" s="47">
        <f t="shared" si="40"/>
        <v>852.05278099999941</v>
      </c>
      <c r="AH462" s="31">
        <f>AH461</f>
        <v>12.526499999999999</v>
      </c>
      <c r="AI462" s="39">
        <f>AI461+AH462</f>
        <v>852.05278099999941</v>
      </c>
    </row>
    <row r="463" spans="1:38" ht="24" customHeight="1">
      <c r="A463" s="50">
        <f t="shared" si="35"/>
        <v>296</v>
      </c>
      <c r="B463" s="51" t="s">
        <v>681</v>
      </c>
      <c r="C463" s="52">
        <v>400</v>
      </c>
      <c r="D463" s="52">
        <v>425</v>
      </c>
      <c r="H463" s="26" t="s">
        <v>401</v>
      </c>
      <c r="K463" s="40">
        <f>SUM(K459:K461)</f>
        <v>4547.6551449999997</v>
      </c>
      <c r="R463" s="35" t="s">
        <v>48</v>
      </c>
      <c r="S463" s="28"/>
      <c r="T463" s="29"/>
      <c r="U463" s="35" t="s">
        <v>48</v>
      </c>
      <c r="W463" s="31"/>
      <c r="AA463" s="29"/>
      <c r="AB463" s="29"/>
      <c r="AC463" s="35" t="s">
        <v>48</v>
      </c>
      <c r="AE463" s="31"/>
      <c r="AG463" s="47">
        <f t="shared" si="40"/>
        <v>864.57928099999936</v>
      </c>
      <c r="AH463" s="31">
        <f>AH462</f>
        <v>12.526499999999999</v>
      </c>
      <c r="AI463" s="39">
        <f>AI462+AH463</f>
        <v>864.57928099999936</v>
      </c>
    </row>
    <row r="464" spans="1:38" ht="60.75" customHeight="1">
      <c r="A464" s="50">
        <f t="shared" si="35"/>
        <v>297</v>
      </c>
      <c r="B464" s="51" t="s">
        <v>682</v>
      </c>
      <c r="C464" s="52">
        <v>450</v>
      </c>
      <c r="D464" s="52">
        <v>500</v>
      </c>
      <c r="K464" s="35" t="s">
        <v>48</v>
      </c>
      <c r="O464" s="26" t="s">
        <v>665</v>
      </c>
      <c r="R464" s="40">
        <f>(R462/30)</f>
        <v>84.596066666666658</v>
      </c>
      <c r="S464" s="40">
        <v>0.01</v>
      </c>
      <c r="T464" s="38" t="s">
        <v>93</v>
      </c>
      <c r="U464" s="88" t="s">
        <v>683</v>
      </c>
      <c r="V464" s="40">
        <f>AA718</f>
        <v>9554.7423918000004</v>
      </c>
      <c r="W464" s="26" t="s">
        <v>93</v>
      </c>
      <c r="X464" s="40">
        <f>(S464*V464)</f>
        <v>95.547423918000007</v>
      </c>
      <c r="Y464" s="40"/>
      <c r="Z464" s="40">
        <v>0.01</v>
      </c>
      <c r="AA464" s="38" t="s">
        <v>93</v>
      </c>
      <c r="AB464" s="38"/>
      <c r="AC464" s="88" t="s">
        <v>684</v>
      </c>
      <c r="AD464" s="40">
        <f>Z688</f>
        <v>10079.271991799998</v>
      </c>
      <c r="AE464" s="26" t="s">
        <v>93</v>
      </c>
      <c r="AF464" s="40">
        <f>(Z464*AD464)</f>
        <v>100.79271991799999</v>
      </c>
      <c r="AG464" s="47" t="str">
        <f t="shared" si="40"/>
        <v>|</v>
      </c>
      <c r="AI464" s="26" t="s">
        <v>685</v>
      </c>
    </row>
    <row r="465" spans="1:35" ht="24" customHeight="1">
      <c r="A465" s="50">
        <f t="shared" si="35"/>
        <v>298</v>
      </c>
      <c r="B465" s="51" t="s">
        <v>686</v>
      </c>
      <c r="C465" s="52">
        <v>77.819999999999993</v>
      </c>
      <c r="D465" s="51" t="s">
        <v>105</v>
      </c>
      <c r="H465" s="26" t="s">
        <v>403</v>
      </c>
      <c r="K465" s="40">
        <f>(K463/10)</f>
        <v>454.76551449999999</v>
      </c>
      <c r="R465" s="35" t="s">
        <v>48</v>
      </c>
      <c r="S465" s="40">
        <v>0.01</v>
      </c>
      <c r="T465" s="38" t="s">
        <v>93</v>
      </c>
      <c r="U465" s="26" t="s">
        <v>687</v>
      </c>
      <c r="V465" s="40"/>
      <c r="W465" s="26" t="s">
        <v>106</v>
      </c>
      <c r="X465" s="40">
        <v>1.1499999999999999</v>
      </c>
      <c r="Y465" s="40"/>
      <c r="Z465" s="40">
        <v>0.01</v>
      </c>
      <c r="AA465" s="38" t="s">
        <v>93</v>
      </c>
      <c r="AB465" s="38"/>
      <c r="AC465" s="26" t="s">
        <v>687</v>
      </c>
      <c r="AD465" s="40"/>
      <c r="AE465" s="26" t="s">
        <v>106</v>
      </c>
      <c r="AF465" s="40">
        <v>1.1499999999999999</v>
      </c>
      <c r="AG465" s="47" t="str">
        <f t="shared" si="40"/>
        <v>|</v>
      </c>
      <c r="AI465" s="26" t="s">
        <v>685</v>
      </c>
    </row>
    <row r="466" spans="1:35" ht="24" customHeight="1">
      <c r="A466" s="50">
        <f t="shared" si="35"/>
        <v>299</v>
      </c>
      <c r="B466" s="51" t="s">
        <v>688</v>
      </c>
      <c r="C466" s="52">
        <v>99.74</v>
      </c>
      <c r="D466" s="51" t="s">
        <v>105</v>
      </c>
      <c r="K466" s="35" t="s">
        <v>41</v>
      </c>
      <c r="N466" s="26" t="s">
        <v>689</v>
      </c>
      <c r="O466" s="27" t="s">
        <v>690</v>
      </c>
      <c r="S466" s="28"/>
      <c r="T466" s="29"/>
      <c r="U466" s="26" t="s">
        <v>691</v>
      </c>
      <c r="V466" s="40"/>
      <c r="W466" s="31"/>
      <c r="AA466" s="29"/>
      <c r="AB466" s="29"/>
      <c r="AC466" s="26" t="s">
        <v>691</v>
      </c>
      <c r="AD466" s="40"/>
      <c r="AE466" s="31"/>
      <c r="AG466" s="47" t="str">
        <f t="shared" si="40"/>
        <v>|</v>
      </c>
      <c r="AI466" s="26" t="s">
        <v>685</v>
      </c>
    </row>
    <row r="467" spans="1:35" ht="24" customHeight="1">
      <c r="A467" s="50">
        <f t="shared" si="35"/>
        <v>300</v>
      </c>
      <c r="B467" s="51" t="s">
        <v>615</v>
      </c>
      <c r="C467" s="52">
        <v>165</v>
      </c>
      <c r="D467" s="51" t="s">
        <v>105</v>
      </c>
      <c r="H467" s="26" t="s">
        <v>309</v>
      </c>
      <c r="K467" s="39">
        <f>(K465+C19/10*F459)</f>
        <v>458.9095145</v>
      </c>
      <c r="O467" s="35" t="s">
        <v>48</v>
      </c>
      <c r="S467" s="28"/>
      <c r="T467" s="29"/>
      <c r="V467" s="40"/>
      <c r="W467" s="31"/>
      <c r="X467" s="35" t="s">
        <v>48</v>
      </c>
      <c r="Y467" s="35"/>
      <c r="AA467" s="29"/>
      <c r="AB467" s="29"/>
      <c r="AD467" s="40"/>
      <c r="AE467" s="31"/>
      <c r="AF467" s="35" t="s">
        <v>48</v>
      </c>
      <c r="AG467" s="47" t="str">
        <f t="shared" si="40"/>
        <v>|</v>
      </c>
      <c r="AI467" s="26" t="s">
        <v>685</v>
      </c>
    </row>
    <row r="468" spans="1:35" ht="24" customHeight="1">
      <c r="A468" s="50">
        <f t="shared" si="35"/>
        <v>301</v>
      </c>
      <c r="B468" s="51" t="s">
        <v>616</v>
      </c>
      <c r="C468" s="52">
        <v>258</v>
      </c>
      <c r="D468" s="51" t="s">
        <v>105</v>
      </c>
      <c r="H468" s="26" t="s">
        <v>313</v>
      </c>
      <c r="K468" s="39">
        <f>(K467+C20/10*F459)</f>
        <v>467.2605145</v>
      </c>
      <c r="M468" s="40">
        <v>8.1</v>
      </c>
      <c r="N468" s="26" t="s">
        <v>93</v>
      </c>
      <c r="O468" s="26" t="s">
        <v>648</v>
      </c>
      <c r="P468" s="40">
        <f>(C61)*2</f>
        <v>235.2</v>
      </c>
      <c r="Q468" s="26" t="s">
        <v>93</v>
      </c>
      <c r="R468" s="40">
        <f>(M468*P468)</f>
        <v>1905.12</v>
      </c>
      <c r="S468" s="28"/>
      <c r="T468" s="29"/>
      <c r="U468" s="26" t="s">
        <v>692</v>
      </c>
      <c r="V468" s="40"/>
      <c r="W468" s="31"/>
      <c r="X468" s="40">
        <f>SUM(X464:X466)</f>
        <v>96.697423918000013</v>
      </c>
      <c r="Y468" s="40"/>
      <c r="AA468" s="29"/>
      <c r="AB468" s="29"/>
      <c r="AC468" s="26" t="s">
        <v>692</v>
      </c>
      <c r="AD468" s="40"/>
      <c r="AE468" s="31"/>
      <c r="AF468" s="40">
        <f>SUM(AF464:AF466)</f>
        <v>101.94271991799999</v>
      </c>
      <c r="AG468" s="47" t="str">
        <f t="shared" si="40"/>
        <v>|</v>
      </c>
      <c r="AI468" s="26" t="s">
        <v>685</v>
      </c>
    </row>
    <row r="469" spans="1:35" ht="24" customHeight="1">
      <c r="A469" s="50">
        <f t="shared" si="35"/>
        <v>302</v>
      </c>
      <c r="B469" s="51" t="s">
        <v>617</v>
      </c>
      <c r="C469" s="52">
        <v>298</v>
      </c>
      <c r="D469" s="51" t="s">
        <v>105</v>
      </c>
      <c r="H469" s="26" t="s">
        <v>316</v>
      </c>
      <c r="K469" s="39">
        <f>(K468+C21/10*F459)</f>
        <v>475.6115145</v>
      </c>
      <c r="M469" s="40">
        <v>8.1</v>
      </c>
      <c r="N469" s="26" t="s">
        <v>93</v>
      </c>
      <c r="O469" s="26" t="s">
        <v>649</v>
      </c>
      <c r="P469" s="40">
        <f>(C26)</f>
        <v>41.019999999999996</v>
      </c>
      <c r="Q469" s="26" t="s">
        <v>93</v>
      </c>
      <c r="R469" s="40">
        <f>(M469*P469)</f>
        <v>332.26199999999994</v>
      </c>
      <c r="S469" s="28"/>
      <c r="T469" s="29"/>
      <c r="V469" s="40"/>
      <c r="W469" s="31"/>
      <c r="X469" s="35" t="s">
        <v>48</v>
      </c>
      <c r="Y469" s="35"/>
      <c r="AA469" s="29"/>
      <c r="AB469" s="29"/>
      <c r="AD469" s="40"/>
      <c r="AE469" s="31"/>
      <c r="AF469" s="35" t="s">
        <v>48</v>
      </c>
      <c r="AG469" s="47" t="str">
        <f t="shared" si="40"/>
        <v>|</v>
      </c>
      <c r="AI469" s="26" t="s">
        <v>685</v>
      </c>
    </row>
    <row r="470" spans="1:35" ht="24" customHeight="1">
      <c r="A470" s="50">
        <f t="shared" si="35"/>
        <v>303</v>
      </c>
      <c r="B470" s="51" t="s">
        <v>561</v>
      </c>
      <c r="C470" s="52">
        <v>398</v>
      </c>
      <c r="D470" s="51" t="s">
        <v>105</v>
      </c>
      <c r="H470" s="26" t="s">
        <v>318</v>
      </c>
      <c r="K470" s="39">
        <f>(K469+C21/10*F459)</f>
        <v>483.9625145</v>
      </c>
      <c r="L470" s="28">
        <f t="shared" ref="L470:L476" si="41">K470-K469</f>
        <v>8.3509999999999991</v>
      </c>
      <c r="M470" s="40">
        <v>30</v>
      </c>
      <c r="N470" s="26" t="s">
        <v>244</v>
      </c>
      <c r="O470" s="26" t="s">
        <v>650</v>
      </c>
      <c r="P470" s="40">
        <f>(C42)</f>
        <v>5</v>
      </c>
      <c r="Q470" s="26" t="s">
        <v>244</v>
      </c>
      <c r="R470" s="40">
        <f>(M470*P470)</f>
        <v>150</v>
      </c>
      <c r="S470" s="28"/>
      <c r="T470" s="29"/>
      <c r="U470" s="26" t="s">
        <v>201</v>
      </c>
      <c r="V470" s="40"/>
      <c r="W470" s="31"/>
      <c r="X470" s="40">
        <f>ROUND(X468*100,0)</f>
        <v>9670</v>
      </c>
      <c r="Y470" s="40"/>
      <c r="AA470" s="29"/>
      <c r="AB470" s="29"/>
      <c r="AC470" s="26" t="s">
        <v>201</v>
      </c>
      <c r="AD470" s="40"/>
      <c r="AE470" s="31"/>
      <c r="AF470" s="40">
        <f>ROUND(AF468*100,0)</f>
        <v>10194</v>
      </c>
      <c r="AG470" s="47" t="str">
        <f t="shared" si="40"/>
        <v>|</v>
      </c>
      <c r="AI470" s="26" t="s">
        <v>685</v>
      </c>
    </row>
    <row r="471" spans="1:35" ht="15.75">
      <c r="A471" s="50">
        <f t="shared" si="35"/>
        <v>304</v>
      </c>
      <c r="B471" s="51" t="s">
        <v>646</v>
      </c>
      <c r="C471" s="66"/>
      <c r="D471" s="51" t="s">
        <v>105</v>
      </c>
      <c r="H471" s="26" t="s">
        <v>407</v>
      </c>
      <c r="K471" s="39">
        <f>(K470+C21/10*F459)</f>
        <v>492.3135145</v>
      </c>
      <c r="L471" s="28">
        <f t="shared" si="41"/>
        <v>8.3509999999999991</v>
      </c>
      <c r="O471" s="26" t="s">
        <v>651</v>
      </c>
      <c r="S471" s="26" t="s">
        <v>27</v>
      </c>
      <c r="T471" s="29"/>
      <c r="V471" s="40"/>
      <c r="W471" s="31"/>
      <c r="Z471" s="26" t="s">
        <v>27</v>
      </c>
      <c r="AA471" s="29"/>
      <c r="AB471" s="29"/>
      <c r="AD471" s="40"/>
      <c r="AE471" s="31"/>
      <c r="AG471" s="47" t="str">
        <f t="shared" si="40"/>
        <v>|</v>
      </c>
      <c r="AI471" s="26" t="s">
        <v>685</v>
      </c>
    </row>
    <row r="472" spans="1:35" ht="15.75">
      <c r="A472" s="50"/>
      <c r="B472" s="51"/>
      <c r="C472" s="66"/>
      <c r="D472" s="51"/>
      <c r="H472" s="26">
        <v>5</v>
      </c>
      <c r="K472" s="39">
        <f>(K471+C21/10*F459)</f>
        <v>500.6645145</v>
      </c>
      <c r="L472" s="28">
        <f t="shared" si="41"/>
        <v>8.3509999999999991</v>
      </c>
      <c r="O472" s="26"/>
      <c r="S472" s="28"/>
      <c r="T472" s="29"/>
      <c r="V472" s="40"/>
      <c r="W472" s="31"/>
      <c r="X472" s="35" t="s">
        <v>41</v>
      </c>
      <c r="Y472" s="35"/>
      <c r="AA472" s="29"/>
      <c r="AB472" s="29"/>
      <c r="AD472" s="40"/>
      <c r="AE472" s="31"/>
      <c r="AF472" s="35" t="s">
        <v>41</v>
      </c>
      <c r="AG472" s="47"/>
      <c r="AI472" s="26"/>
    </row>
    <row r="473" spans="1:35" ht="15.75">
      <c r="A473" s="50"/>
      <c r="B473" s="51"/>
      <c r="C473" s="66"/>
      <c r="D473" s="51"/>
      <c r="H473" s="26">
        <v>6</v>
      </c>
      <c r="K473" s="39">
        <f>(K472+C21/10*F459)</f>
        <v>509.01551449999999</v>
      </c>
      <c r="L473" s="28">
        <f t="shared" si="41"/>
        <v>8.3509999999999991</v>
      </c>
      <c r="O473" s="26"/>
      <c r="S473" s="28"/>
      <c r="T473" s="38" t="s">
        <v>386</v>
      </c>
      <c r="U473" s="26" t="s">
        <v>693</v>
      </c>
      <c r="V473" s="40"/>
      <c r="W473" s="31"/>
      <c r="AA473" s="38" t="s">
        <v>386</v>
      </c>
      <c r="AB473" s="38"/>
      <c r="AC473" s="26" t="s">
        <v>693</v>
      </c>
      <c r="AD473" s="40"/>
      <c r="AE473" s="31"/>
      <c r="AG473" s="47"/>
      <c r="AI473" s="26"/>
    </row>
    <row r="474" spans="1:35" ht="15.75">
      <c r="A474" s="50"/>
      <c r="B474" s="51"/>
      <c r="C474" s="66"/>
      <c r="D474" s="51"/>
      <c r="H474" s="26">
        <v>7</v>
      </c>
      <c r="K474" s="39">
        <f>(K473+C21/10*F459)</f>
        <v>517.36651449999999</v>
      </c>
      <c r="L474" s="28">
        <f t="shared" si="41"/>
        <v>8.3509999999999991</v>
      </c>
      <c r="O474" s="26"/>
      <c r="S474" s="28"/>
      <c r="T474" s="29"/>
      <c r="U474" s="26" t="s">
        <v>694</v>
      </c>
      <c r="V474" s="40"/>
      <c r="W474" s="31"/>
      <c r="AA474" s="29"/>
      <c r="AB474" s="29"/>
      <c r="AC474" s="26" t="s">
        <v>694</v>
      </c>
      <c r="AD474" s="40"/>
      <c r="AE474" s="31"/>
      <c r="AG474" s="47"/>
      <c r="AI474" s="26"/>
    </row>
    <row r="475" spans="1:35" ht="15.75">
      <c r="A475" s="50"/>
      <c r="B475" s="51"/>
      <c r="C475" s="66"/>
      <c r="D475" s="51"/>
      <c r="H475" s="26">
        <v>8</v>
      </c>
      <c r="K475" s="39">
        <f>(K474+C21/10*F459)</f>
        <v>525.71751449999999</v>
      </c>
      <c r="L475" s="28">
        <f t="shared" si="41"/>
        <v>8.3509999999999991</v>
      </c>
      <c r="O475" s="26"/>
      <c r="S475" s="28"/>
      <c r="T475" s="29"/>
      <c r="U475" s="35" t="s">
        <v>48</v>
      </c>
      <c r="V475" s="40"/>
      <c r="W475" s="31"/>
      <c r="AA475" s="29"/>
      <c r="AB475" s="29"/>
      <c r="AC475" s="35" t="s">
        <v>48</v>
      </c>
      <c r="AD475" s="40"/>
      <c r="AE475" s="31"/>
      <c r="AG475" s="47"/>
      <c r="AI475" s="26"/>
    </row>
    <row r="476" spans="1:35" ht="15.75">
      <c r="A476" s="50"/>
      <c r="B476" s="51"/>
      <c r="C476" s="66"/>
      <c r="D476" s="51"/>
      <c r="H476" s="26">
        <v>9</v>
      </c>
      <c r="K476" s="39">
        <f>(K475+C21/10*F459)</f>
        <v>534.06851449999999</v>
      </c>
      <c r="L476" s="28">
        <f t="shared" si="41"/>
        <v>8.3509999999999991</v>
      </c>
      <c r="O476" s="26"/>
      <c r="S476" s="76">
        <v>1.4E-2</v>
      </c>
      <c r="T476" s="38" t="s">
        <v>93</v>
      </c>
      <c r="U476" s="26" t="s">
        <v>695</v>
      </c>
      <c r="V476" s="40">
        <f>X470</f>
        <v>9670</v>
      </c>
      <c r="W476" s="26" t="s">
        <v>93</v>
      </c>
      <c r="X476" s="40">
        <f>(S476*V476)</f>
        <v>135.38</v>
      </c>
      <c r="Y476" s="40"/>
      <c r="Z476" s="76">
        <v>1.4E-2</v>
      </c>
      <c r="AA476" s="38" t="s">
        <v>93</v>
      </c>
      <c r="AB476" s="38"/>
      <c r="AC476" s="26" t="s">
        <v>695</v>
      </c>
      <c r="AD476" s="40">
        <f>AF470</f>
        <v>10194</v>
      </c>
      <c r="AE476" s="26" t="s">
        <v>93</v>
      </c>
      <c r="AF476" s="40">
        <f>(Z476*AD476)</f>
        <v>142.71600000000001</v>
      </c>
      <c r="AG476" s="47"/>
      <c r="AI476" s="26"/>
    </row>
    <row r="477" spans="1:35" ht="15.75">
      <c r="A477" s="50"/>
      <c r="B477" s="51"/>
      <c r="C477" s="66"/>
      <c r="D477" s="51"/>
      <c r="H477" s="26">
        <v>10</v>
      </c>
      <c r="K477" s="39">
        <f>(K476+C21/10*F459)</f>
        <v>542.41951449999999</v>
      </c>
      <c r="L477" s="28">
        <f>K477-K476</f>
        <v>8.3509999999999991</v>
      </c>
      <c r="O477" s="26"/>
      <c r="S477" s="76"/>
      <c r="T477" s="29"/>
      <c r="U477" s="26" t="s">
        <v>696</v>
      </c>
      <c r="V477" s="40"/>
      <c r="W477" s="31"/>
      <c r="X477" s="26" t="s">
        <v>27</v>
      </c>
      <c r="Y477" s="26"/>
      <c r="Z477" s="76"/>
      <c r="AA477" s="29"/>
      <c r="AB477" s="29"/>
      <c r="AC477" s="26" t="s">
        <v>696</v>
      </c>
      <c r="AD477" s="40"/>
      <c r="AE477" s="31"/>
      <c r="AF477" s="26" t="s">
        <v>27</v>
      </c>
      <c r="AG477" s="47"/>
      <c r="AI477" s="26"/>
    </row>
    <row r="478" spans="1:35" ht="15.75">
      <c r="A478" s="50"/>
      <c r="B478" s="51"/>
      <c r="C478" s="66"/>
      <c r="D478" s="51"/>
      <c r="H478" s="26"/>
      <c r="K478" s="39">
        <f>(K477+C21/10*F459)</f>
        <v>550.77051449999999</v>
      </c>
      <c r="L478" s="28">
        <f>K478-K477</f>
        <v>8.3509999999999991</v>
      </c>
      <c r="O478" s="26"/>
      <c r="S478" s="40">
        <v>0.5</v>
      </c>
      <c r="T478" s="38" t="s">
        <v>196</v>
      </c>
      <c r="U478" s="26" t="s">
        <v>298</v>
      </c>
      <c r="V478" s="40">
        <f>C10</f>
        <v>1076.5999999999999</v>
      </c>
      <c r="W478" s="26" t="s">
        <v>196</v>
      </c>
      <c r="X478" s="40">
        <f>(S478*V478)</f>
        <v>538.29999999999995</v>
      </c>
      <c r="Y478" s="40"/>
      <c r="Z478" s="40">
        <v>0.5</v>
      </c>
      <c r="AA478" s="38" t="s">
        <v>196</v>
      </c>
      <c r="AB478" s="38"/>
      <c r="AC478" s="26" t="s">
        <v>298</v>
      </c>
      <c r="AD478" s="40">
        <f>V478</f>
        <v>1076.5999999999999</v>
      </c>
      <c r="AE478" s="26" t="s">
        <v>196</v>
      </c>
      <c r="AF478" s="40">
        <f>(Z478*AD478)</f>
        <v>538.29999999999995</v>
      </c>
      <c r="AG478" s="47"/>
      <c r="AI478" s="26"/>
    </row>
    <row r="479" spans="1:35" ht="15.75">
      <c r="A479" s="50">
        <f>(A471+1)</f>
        <v>305</v>
      </c>
      <c r="B479" s="123" t="s">
        <v>697</v>
      </c>
      <c r="C479" s="66"/>
      <c r="D479" s="51" t="s">
        <v>105</v>
      </c>
      <c r="F479" s="27" t="s">
        <v>698</v>
      </c>
      <c r="G479" s="38" t="s">
        <v>67</v>
      </c>
      <c r="H479" s="26" t="s">
        <v>699</v>
      </c>
      <c r="K479" s="39">
        <f>(K478+C21/10*F459)</f>
        <v>559.12151449999999</v>
      </c>
      <c r="L479" s="28">
        <f>K479-K478</f>
        <v>8.3509999999999991</v>
      </c>
      <c r="O479" s="26" t="s">
        <v>652</v>
      </c>
      <c r="S479" s="40">
        <v>0.75</v>
      </c>
      <c r="T479" s="38" t="s">
        <v>196</v>
      </c>
      <c r="U479" s="26" t="s">
        <v>271</v>
      </c>
      <c r="V479" s="40">
        <f>C12</f>
        <v>702.8</v>
      </c>
      <c r="W479" s="26" t="s">
        <v>196</v>
      </c>
      <c r="X479" s="40">
        <f>(S479*V479)</f>
        <v>527.09999999999991</v>
      </c>
      <c r="Y479" s="40"/>
      <c r="Z479" s="40">
        <v>0.75</v>
      </c>
      <c r="AA479" s="38" t="s">
        <v>196</v>
      </c>
      <c r="AB479" s="38"/>
      <c r="AC479" s="26" t="s">
        <v>271</v>
      </c>
      <c r="AD479" s="40">
        <f>V479</f>
        <v>702.8</v>
      </c>
      <c r="AE479" s="26" t="s">
        <v>196</v>
      </c>
      <c r="AF479" s="40">
        <f>(Z479*AD479)</f>
        <v>527.09999999999991</v>
      </c>
      <c r="AG479" s="47" t="str">
        <f t="shared" si="40"/>
        <v>|</v>
      </c>
      <c r="AI479" s="26" t="s">
        <v>685</v>
      </c>
    </row>
    <row r="480" spans="1:35" ht="50.25" customHeight="1">
      <c r="A480" s="50">
        <f t="shared" si="35"/>
        <v>306</v>
      </c>
      <c r="B480" s="51" t="s">
        <v>620</v>
      </c>
      <c r="C480" s="52">
        <v>130</v>
      </c>
      <c r="D480" s="51" t="s">
        <v>105</v>
      </c>
      <c r="H480" s="26" t="s">
        <v>700</v>
      </c>
      <c r="O480" s="26" t="s">
        <v>653</v>
      </c>
      <c r="S480" s="28"/>
      <c r="T480" s="38" t="s">
        <v>106</v>
      </c>
      <c r="U480" s="26" t="s">
        <v>107</v>
      </c>
      <c r="V480" s="40"/>
      <c r="W480" s="26" t="s">
        <v>106</v>
      </c>
      <c r="X480" s="40">
        <v>0</v>
      </c>
      <c r="Y480" s="40"/>
      <c r="AA480" s="38" t="s">
        <v>106</v>
      </c>
      <c r="AB480" s="38"/>
      <c r="AC480" s="26" t="s">
        <v>107</v>
      </c>
      <c r="AD480" s="40">
        <f>V480</f>
        <v>0</v>
      </c>
      <c r="AE480" s="26" t="s">
        <v>106</v>
      </c>
      <c r="AF480" s="40">
        <v>0</v>
      </c>
      <c r="AG480" s="47" t="str">
        <f t="shared" si="40"/>
        <v>|</v>
      </c>
      <c r="AI480" s="26" t="s">
        <v>685</v>
      </c>
    </row>
    <row r="481" spans="1:35" ht="30.75" customHeight="1">
      <c r="A481" s="50">
        <f t="shared" si="35"/>
        <v>307</v>
      </c>
      <c r="B481" s="51" t="s">
        <v>613</v>
      </c>
      <c r="C481" s="49">
        <v>344</v>
      </c>
      <c r="D481" s="51" t="s">
        <v>105</v>
      </c>
      <c r="H481" s="35" t="s">
        <v>48</v>
      </c>
      <c r="O481" s="26" t="s">
        <v>654</v>
      </c>
      <c r="S481" s="28"/>
      <c r="T481" s="29"/>
      <c r="V481" s="40"/>
      <c r="W481" s="31"/>
      <c r="X481" s="35" t="s">
        <v>48</v>
      </c>
      <c r="Y481" s="35"/>
      <c r="AA481" s="29"/>
      <c r="AB481" s="29"/>
      <c r="AD481" s="40"/>
      <c r="AE481" s="31"/>
      <c r="AF481" s="35" t="s">
        <v>48</v>
      </c>
      <c r="AG481" s="47" t="str">
        <f t="shared" si="40"/>
        <v>|</v>
      </c>
      <c r="AI481" s="26" t="s">
        <v>685</v>
      </c>
    </row>
    <row r="482" spans="1:35" ht="24" customHeight="1">
      <c r="A482" s="50">
        <f t="shared" si="35"/>
        <v>308</v>
      </c>
      <c r="B482" s="51" t="s">
        <v>615</v>
      </c>
      <c r="C482" s="49">
        <v>582</v>
      </c>
      <c r="D482" s="51" t="s">
        <v>105</v>
      </c>
      <c r="F482" s="40">
        <v>1</v>
      </c>
      <c r="G482" s="38" t="s">
        <v>93</v>
      </c>
      <c r="H482" s="26" t="s">
        <v>701</v>
      </c>
      <c r="I482" s="40">
        <f>(C26)</f>
        <v>41.019999999999996</v>
      </c>
      <c r="J482" s="26" t="s">
        <v>93</v>
      </c>
      <c r="K482" s="39">
        <f>(F482*I482)</f>
        <v>41.019999999999996</v>
      </c>
      <c r="M482" s="40">
        <v>8</v>
      </c>
      <c r="N482" s="26" t="s">
        <v>196</v>
      </c>
      <c r="O482" s="26" t="s">
        <v>657</v>
      </c>
      <c r="P482" s="40">
        <f>(C45)</f>
        <v>8.5</v>
      </c>
      <c r="Q482" s="26" t="s">
        <v>196</v>
      </c>
      <c r="R482" s="40">
        <f>(M482*P482)</f>
        <v>68</v>
      </c>
      <c r="S482" s="28"/>
      <c r="T482" s="29"/>
      <c r="U482" s="26" t="s">
        <v>702</v>
      </c>
      <c r="V482" s="40"/>
      <c r="W482" s="31"/>
      <c r="X482" s="40">
        <f>SUM(X476:X480)</f>
        <v>1200.7799999999997</v>
      </c>
      <c r="Y482" s="40"/>
      <c r="AA482" s="29"/>
      <c r="AB482" s="29"/>
      <c r="AC482" s="26" t="s">
        <v>702</v>
      </c>
      <c r="AD482" s="40"/>
      <c r="AE482" s="31"/>
      <c r="AF482" s="40">
        <f>SUM(AF476:AF480)</f>
        <v>1208.116</v>
      </c>
      <c r="AG482" s="47" t="str">
        <f t="shared" si="40"/>
        <v>|</v>
      </c>
      <c r="AI482" s="26" t="s">
        <v>685</v>
      </c>
    </row>
    <row r="483" spans="1:35" ht="24" customHeight="1">
      <c r="A483" s="50">
        <f t="shared" si="35"/>
        <v>309</v>
      </c>
      <c r="B483" s="51" t="s">
        <v>616</v>
      </c>
      <c r="C483" s="49">
        <v>746</v>
      </c>
      <c r="D483" s="51" t="s">
        <v>105</v>
      </c>
      <c r="K483" s="35" t="s">
        <v>41</v>
      </c>
      <c r="M483" s="40">
        <v>8</v>
      </c>
      <c r="N483" s="26" t="s">
        <v>196</v>
      </c>
      <c r="O483" s="26" t="s">
        <v>660</v>
      </c>
      <c r="P483" s="40">
        <f>(C52)</f>
        <v>21.1</v>
      </c>
      <c r="Q483" s="26" t="s">
        <v>196</v>
      </c>
      <c r="R483" s="40">
        <f>(M483*P483)</f>
        <v>168.8</v>
      </c>
      <c r="S483" s="28"/>
      <c r="T483" s="29"/>
      <c r="V483" s="40"/>
      <c r="W483" s="31"/>
      <c r="X483" s="35" t="s">
        <v>48</v>
      </c>
      <c r="Y483" s="35"/>
      <c r="AA483" s="29"/>
      <c r="AB483" s="29"/>
      <c r="AD483" s="40"/>
      <c r="AE483" s="31"/>
      <c r="AF483" s="35" t="s">
        <v>48</v>
      </c>
      <c r="AG483" s="47" t="str">
        <f t="shared" si="40"/>
        <v>|</v>
      </c>
      <c r="AI483" s="26" t="s">
        <v>685</v>
      </c>
    </row>
    <row r="484" spans="1:35" ht="24" customHeight="1">
      <c r="A484" s="50">
        <f t="shared" si="35"/>
        <v>310</v>
      </c>
      <c r="B484" s="51" t="s">
        <v>617</v>
      </c>
      <c r="C484" s="49">
        <v>959</v>
      </c>
      <c r="D484" s="51" t="s">
        <v>105</v>
      </c>
      <c r="F484" s="77">
        <v>7.3</v>
      </c>
      <c r="G484" s="38" t="s">
        <v>67</v>
      </c>
      <c r="H484" s="26" t="s">
        <v>703</v>
      </c>
      <c r="M484" s="40">
        <v>1</v>
      </c>
      <c r="N484" s="26" t="s">
        <v>106</v>
      </c>
      <c r="O484" s="26" t="s">
        <v>662</v>
      </c>
      <c r="P484" s="40">
        <f>(C56)</f>
        <v>12.1</v>
      </c>
      <c r="Q484" s="26" t="s">
        <v>106</v>
      </c>
      <c r="R484" s="40">
        <f>(M484*P484)</f>
        <v>12.1</v>
      </c>
      <c r="S484" s="28"/>
      <c r="T484" s="29"/>
      <c r="U484" s="26" t="s">
        <v>403</v>
      </c>
      <c r="W484" s="31"/>
      <c r="X484" s="40">
        <f>(X482/0.372)</f>
        <v>3227.9032258064508</v>
      </c>
      <c r="Y484" s="40"/>
      <c r="AA484" s="29"/>
      <c r="AB484" s="29"/>
      <c r="AC484" s="26" t="s">
        <v>403</v>
      </c>
      <c r="AE484" s="31"/>
      <c r="AF484" s="40">
        <f>(AF482/0.372)</f>
        <v>3247.6236559139784</v>
      </c>
      <c r="AG484" s="47" t="str">
        <f t="shared" si="40"/>
        <v>|</v>
      </c>
      <c r="AI484" s="26" t="s">
        <v>685</v>
      </c>
    </row>
    <row r="485" spans="1:35" ht="24" customHeight="1">
      <c r="A485" s="50">
        <f t="shared" si="35"/>
        <v>311</v>
      </c>
      <c r="B485" s="51" t="s">
        <v>561</v>
      </c>
      <c r="C485" s="49">
        <v>1217</v>
      </c>
      <c r="D485" s="51" t="s">
        <v>105</v>
      </c>
      <c r="F485" s="26" t="s">
        <v>27</v>
      </c>
      <c r="H485" s="26" t="s">
        <v>704</v>
      </c>
      <c r="M485" s="40">
        <v>1</v>
      </c>
      <c r="N485" s="26" t="s">
        <v>106</v>
      </c>
      <c r="O485" s="26" t="s">
        <v>107</v>
      </c>
      <c r="Q485" s="26" t="s">
        <v>106</v>
      </c>
      <c r="R485" s="40">
        <v>0</v>
      </c>
      <c r="S485" s="28"/>
      <c r="T485" s="29"/>
      <c r="W485" s="31"/>
      <c r="X485" s="35" t="s">
        <v>41</v>
      </c>
      <c r="Y485" s="35"/>
      <c r="AA485" s="29"/>
      <c r="AB485" s="29"/>
      <c r="AE485" s="31"/>
      <c r="AF485" s="35" t="s">
        <v>41</v>
      </c>
      <c r="AG485" s="47" t="str">
        <f t="shared" si="40"/>
        <v>|</v>
      </c>
      <c r="AI485" s="26" t="s">
        <v>685</v>
      </c>
    </row>
    <row r="486" spans="1:35" ht="24" customHeight="1">
      <c r="A486" s="50">
        <f t="shared" si="35"/>
        <v>312</v>
      </c>
      <c r="B486" s="51" t="s">
        <v>646</v>
      </c>
      <c r="C486" s="105">
        <v>1494</v>
      </c>
      <c r="D486" s="51" t="s">
        <v>105</v>
      </c>
      <c r="F486" s="26" t="s">
        <v>27</v>
      </c>
      <c r="H486" s="35" t="s">
        <v>705</v>
      </c>
      <c r="R486" s="35" t="s">
        <v>48</v>
      </c>
      <c r="S486" s="28"/>
      <c r="T486" s="29"/>
      <c r="U486" s="26" t="s">
        <v>309</v>
      </c>
      <c r="V486" s="28">
        <f>X484</f>
        <v>3227.9032258064508</v>
      </c>
      <c r="W486" s="31">
        <f>J659</f>
        <v>4.7366666666666672</v>
      </c>
      <c r="X486" s="39">
        <f>V486+W486</f>
        <v>3232.6398924731175</v>
      </c>
      <c r="Y486" s="39"/>
      <c r="AA486" s="29"/>
      <c r="AB486" s="29"/>
      <c r="AC486" s="26" t="s">
        <v>309</v>
      </c>
      <c r="AD486" s="28">
        <f>AF484</f>
        <v>3247.6236559139784</v>
      </c>
      <c r="AE486" s="31">
        <f t="shared" ref="AE486:AE491" si="42">W486</f>
        <v>4.7366666666666672</v>
      </c>
      <c r="AF486" s="39">
        <f>AD486+AE486</f>
        <v>3252.3603225806451</v>
      </c>
      <c r="AG486" s="47" t="str">
        <f t="shared" si="40"/>
        <v>|</v>
      </c>
      <c r="AI486" s="26" t="s">
        <v>685</v>
      </c>
    </row>
    <row r="487" spans="1:35" ht="24" customHeight="1">
      <c r="A487" s="50">
        <f t="shared" si="35"/>
        <v>313</v>
      </c>
      <c r="B487" s="123" t="s">
        <v>706</v>
      </c>
      <c r="C487" s="66"/>
      <c r="D487" s="51"/>
      <c r="F487" s="40">
        <v>0.13</v>
      </c>
      <c r="G487" s="38" t="s">
        <v>93</v>
      </c>
      <c r="H487" s="26" t="s">
        <v>218</v>
      </c>
      <c r="I487" s="40">
        <f>(K40)</f>
        <v>4975.6400000000003</v>
      </c>
      <c r="J487" s="26" t="s">
        <v>93</v>
      </c>
      <c r="K487" s="40">
        <f t="shared" ref="K487:K492" si="43">(F487*I487)</f>
        <v>646.83320000000003</v>
      </c>
      <c r="O487" s="26" t="s">
        <v>664</v>
      </c>
      <c r="R487" s="40">
        <f>SUM(R468:R485)</f>
        <v>2636.2819999999997</v>
      </c>
      <c r="S487" s="28"/>
      <c r="T487" s="29"/>
      <c r="U487" s="26" t="s">
        <v>313</v>
      </c>
      <c r="V487" s="28">
        <f>X486</f>
        <v>3232.6398924731175</v>
      </c>
      <c r="W487" s="31">
        <f>J662</f>
        <v>9.3258064516129036</v>
      </c>
      <c r="X487" s="39">
        <f>V487+W487</f>
        <v>3241.9656989247305</v>
      </c>
      <c r="Y487" s="39"/>
      <c r="AA487" s="29"/>
      <c r="AB487" s="29"/>
      <c r="AC487" s="26" t="s">
        <v>313</v>
      </c>
      <c r="AD487" s="28">
        <f>AF486</f>
        <v>3252.3603225806451</v>
      </c>
      <c r="AE487" s="31">
        <f t="shared" si="42"/>
        <v>9.3258064516129036</v>
      </c>
      <c r="AF487" s="39">
        <f>AD487+AE487</f>
        <v>3261.6861290322581</v>
      </c>
      <c r="AG487" s="47" t="str">
        <f t="shared" si="40"/>
        <v>|</v>
      </c>
      <c r="AI487" s="26" t="s">
        <v>685</v>
      </c>
    </row>
    <row r="488" spans="1:35" ht="24" customHeight="1">
      <c r="A488" s="50">
        <f t="shared" ref="A488:A494" si="44">(A487+1)</f>
        <v>314</v>
      </c>
      <c r="B488" s="51" t="s">
        <v>620</v>
      </c>
      <c r="C488" s="49">
        <v>167</v>
      </c>
      <c r="D488" s="51" t="s">
        <v>105</v>
      </c>
      <c r="F488" s="40">
        <v>0.7</v>
      </c>
      <c r="G488" s="38" t="s">
        <v>196</v>
      </c>
      <c r="H488" s="26" t="s">
        <v>298</v>
      </c>
      <c r="I488" s="40">
        <f>(C10)</f>
        <v>1076.5999999999999</v>
      </c>
      <c r="J488" s="26" t="s">
        <v>196</v>
      </c>
      <c r="K488" s="40">
        <f t="shared" si="43"/>
        <v>753.61999999999989</v>
      </c>
      <c r="R488" s="35" t="s">
        <v>48</v>
      </c>
      <c r="S488" s="28"/>
      <c r="T488" s="29"/>
      <c r="U488" s="26" t="s">
        <v>316</v>
      </c>
      <c r="V488" s="28">
        <f>X487</f>
        <v>3241.9656989247305</v>
      </c>
      <c r="W488" s="31">
        <f>J663</f>
        <v>9.3258064516129036</v>
      </c>
      <c r="X488" s="39">
        <f>V488+W488</f>
        <v>3251.2915053763436</v>
      </c>
      <c r="Y488" s="39"/>
      <c r="AA488" s="29"/>
      <c r="AB488" s="29"/>
      <c r="AC488" s="26" t="s">
        <v>316</v>
      </c>
      <c r="AD488" s="28">
        <f>AF487</f>
        <v>3261.6861290322581</v>
      </c>
      <c r="AE488" s="31">
        <f t="shared" si="42"/>
        <v>9.3258064516129036</v>
      </c>
      <c r="AF488" s="39">
        <f>AD488+AE488</f>
        <v>3271.0119354838712</v>
      </c>
      <c r="AG488" s="47" t="str">
        <f t="shared" si="40"/>
        <v>|</v>
      </c>
      <c r="AI488" s="26" t="s">
        <v>685</v>
      </c>
    </row>
    <row r="489" spans="1:35" ht="33.75" customHeight="1">
      <c r="A489" s="50">
        <f t="shared" si="44"/>
        <v>315</v>
      </c>
      <c r="B489" s="51" t="s">
        <v>613</v>
      </c>
      <c r="C489" s="49">
        <v>137</v>
      </c>
      <c r="D489" s="51" t="s">
        <v>105</v>
      </c>
      <c r="F489" s="40">
        <v>0.7</v>
      </c>
      <c r="G489" s="38" t="s">
        <v>196</v>
      </c>
      <c r="H489" s="26" t="s">
        <v>269</v>
      </c>
      <c r="I489" s="40">
        <f>(C11)</f>
        <v>1005.1999999999999</v>
      </c>
      <c r="J489" s="26" t="s">
        <v>196</v>
      </c>
      <c r="K489" s="40">
        <f t="shared" si="43"/>
        <v>703.63999999999987</v>
      </c>
      <c r="O489" s="26" t="s">
        <v>665</v>
      </c>
      <c r="R489" s="40">
        <f>(R487/30)</f>
        <v>87.876066666666659</v>
      </c>
      <c r="S489" s="28"/>
      <c r="T489" s="29"/>
      <c r="U489" s="26" t="s">
        <v>318</v>
      </c>
      <c r="V489" s="28">
        <f>X488</f>
        <v>3251.2915053763436</v>
      </c>
      <c r="W489" s="31">
        <f>J664</f>
        <v>9.3258064516129036</v>
      </c>
      <c r="X489" s="39">
        <f>V489+W489</f>
        <v>3260.6173118279567</v>
      </c>
      <c r="Y489" s="39"/>
      <c r="AA489" s="29"/>
      <c r="AB489" s="29"/>
      <c r="AC489" s="26" t="s">
        <v>318</v>
      </c>
      <c r="AD489" s="28">
        <f>AF488</f>
        <v>3271.0119354838712</v>
      </c>
      <c r="AE489" s="31">
        <f t="shared" si="42"/>
        <v>9.3258064516129036</v>
      </c>
      <c r="AF489" s="39">
        <f>AD489+AE489</f>
        <v>3280.3377419354842</v>
      </c>
      <c r="AG489" s="47" t="str">
        <f t="shared" si="40"/>
        <v>|</v>
      </c>
      <c r="AI489" s="26" t="s">
        <v>685</v>
      </c>
    </row>
    <row r="490" spans="1:35" ht="24" customHeight="1">
      <c r="A490" s="50">
        <f t="shared" si="44"/>
        <v>316</v>
      </c>
      <c r="B490" s="51" t="s">
        <v>615</v>
      </c>
      <c r="C490" s="49">
        <v>345</v>
      </c>
      <c r="D490" s="51" t="s">
        <v>105</v>
      </c>
      <c r="F490" s="40">
        <v>1.5</v>
      </c>
      <c r="G490" s="38" t="s">
        <v>196</v>
      </c>
      <c r="H490" s="26" t="s">
        <v>271</v>
      </c>
      <c r="I490" s="40">
        <f>(C12)</f>
        <v>702.8</v>
      </c>
      <c r="J490" s="26" t="s">
        <v>196</v>
      </c>
      <c r="K490" s="40">
        <f t="shared" si="43"/>
        <v>1054.1999999999998</v>
      </c>
      <c r="R490" s="35" t="s">
        <v>48</v>
      </c>
      <c r="S490" s="28"/>
      <c r="T490" s="29"/>
      <c r="U490" s="26" t="s">
        <v>707</v>
      </c>
      <c r="V490" s="28">
        <f>X489</f>
        <v>3260.6173118279567</v>
      </c>
      <c r="W490" s="31">
        <f>J665</f>
        <v>9.3258064516129036</v>
      </c>
      <c r="X490" s="39">
        <f>V490+W490</f>
        <v>3269.9431182795697</v>
      </c>
      <c r="Y490" s="39"/>
      <c r="AA490" s="29"/>
      <c r="AB490" s="29"/>
      <c r="AC490" s="26" t="s">
        <v>707</v>
      </c>
      <c r="AD490" s="28">
        <f>AF489</f>
        <v>3280.3377419354842</v>
      </c>
      <c r="AE490" s="31">
        <f t="shared" si="42"/>
        <v>9.3258064516129036</v>
      </c>
      <c r="AF490" s="39">
        <f>AD490+AE490</f>
        <v>3289.6635483870973</v>
      </c>
      <c r="AG490" s="47" t="str">
        <f t="shared" si="40"/>
        <v>|</v>
      </c>
      <c r="AI490" s="26" t="s">
        <v>685</v>
      </c>
    </row>
    <row r="491" spans="1:35" ht="24" customHeight="1">
      <c r="A491" s="50">
        <f t="shared" si="44"/>
        <v>317</v>
      </c>
      <c r="B491" s="51" t="s">
        <v>616</v>
      </c>
      <c r="C491" s="49">
        <v>503</v>
      </c>
      <c r="D491" s="51" t="s">
        <v>105</v>
      </c>
      <c r="F491" s="40">
        <v>0.5</v>
      </c>
      <c r="G491" s="38" t="s">
        <v>196</v>
      </c>
      <c r="H491" s="26" t="s">
        <v>276</v>
      </c>
      <c r="I491" s="40">
        <f>(C13)</f>
        <v>576.79999999999995</v>
      </c>
      <c r="J491" s="26" t="s">
        <v>196</v>
      </c>
      <c r="K491" s="40">
        <f t="shared" si="43"/>
        <v>288.39999999999998</v>
      </c>
      <c r="M491" s="26" t="s">
        <v>27</v>
      </c>
      <c r="Z491" s="32"/>
      <c r="AE491" s="31">
        <f t="shared" si="42"/>
        <v>0</v>
      </c>
      <c r="AG491" s="47" t="str">
        <f t="shared" si="40"/>
        <v>|</v>
      </c>
      <c r="AI491" s="26" t="s">
        <v>685</v>
      </c>
    </row>
    <row r="492" spans="1:35" ht="24" customHeight="1">
      <c r="A492" s="50">
        <f t="shared" si="44"/>
        <v>318</v>
      </c>
      <c r="B492" s="51" t="s">
        <v>617</v>
      </c>
      <c r="C492" s="49">
        <v>640</v>
      </c>
      <c r="D492" s="51" t="s">
        <v>105</v>
      </c>
      <c r="F492" s="40">
        <v>0.94</v>
      </c>
      <c r="G492" s="38" t="s">
        <v>392</v>
      </c>
      <c r="H492" s="26" t="s">
        <v>708</v>
      </c>
      <c r="I492" s="40">
        <f>C653</f>
        <v>41.9</v>
      </c>
      <c r="J492" s="26" t="s">
        <v>392</v>
      </c>
      <c r="K492" s="40">
        <f t="shared" si="43"/>
        <v>39.385999999999996</v>
      </c>
      <c r="N492" s="26" t="s">
        <v>67</v>
      </c>
      <c r="O492" s="26" t="s">
        <v>641</v>
      </c>
      <c r="Z492" s="32"/>
      <c r="AG492" s="47" t="str">
        <f t="shared" si="40"/>
        <v>|</v>
      </c>
      <c r="AI492" s="26" t="s">
        <v>685</v>
      </c>
    </row>
    <row r="493" spans="1:35" ht="24" customHeight="1">
      <c r="A493" s="50">
        <f t="shared" si="44"/>
        <v>319</v>
      </c>
      <c r="B493" s="51" t="s">
        <v>561</v>
      </c>
      <c r="C493" s="52">
        <v>584</v>
      </c>
      <c r="D493" s="51" t="s">
        <v>105</v>
      </c>
      <c r="H493" s="26" t="s">
        <v>107</v>
      </c>
      <c r="I493" s="26" t="s">
        <v>27</v>
      </c>
      <c r="J493" s="26" t="s">
        <v>106</v>
      </c>
      <c r="K493" s="40">
        <v>0</v>
      </c>
      <c r="O493" s="26" t="s">
        <v>642</v>
      </c>
      <c r="Z493" s="32"/>
      <c r="AG493" s="47" t="str">
        <f t="shared" si="40"/>
        <v>|</v>
      </c>
      <c r="AI493" s="26" t="s">
        <v>685</v>
      </c>
    </row>
    <row r="494" spans="1:35" ht="24" customHeight="1">
      <c r="A494" s="50">
        <f t="shared" si="44"/>
        <v>320</v>
      </c>
      <c r="B494" s="51" t="s">
        <v>646</v>
      </c>
      <c r="C494" s="66"/>
      <c r="D494" s="51" t="s">
        <v>105</v>
      </c>
      <c r="K494" s="35" t="s">
        <v>48</v>
      </c>
      <c r="O494" s="26" t="s">
        <v>709</v>
      </c>
      <c r="Z494" s="32"/>
      <c r="AG494" s="47" t="str">
        <f t="shared" si="40"/>
        <v>|</v>
      </c>
      <c r="AI494" s="26" t="s">
        <v>685</v>
      </c>
    </row>
    <row r="495" spans="1:35" ht="24" customHeight="1">
      <c r="A495" s="50">
        <f>(A494+1)</f>
        <v>321</v>
      </c>
      <c r="B495" s="123" t="s">
        <v>710</v>
      </c>
      <c r="C495" s="66"/>
      <c r="D495" s="51" t="s">
        <v>105</v>
      </c>
      <c r="H495" s="26" t="s">
        <v>401</v>
      </c>
      <c r="K495" s="40">
        <f>SUM(K486:K493)</f>
        <v>3486.0791999999997</v>
      </c>
      <c r="O495" s="35" t="s">
        <v>48</v>
      </c>
      <c r="Z495" s="32"/>
      <c r="AG495" s="47" t="str">
        <f t="shared" si="40"/>
        <v>|</v>
      </c>
      <c r="AI495" s="26" t="s">
        <v>685</v>
      </c>
    </row>
    <row r="496" spans="1:35" ht="24" customHeight="1">
      <c r="A496" s="50">
        <f>(A495+1)</f>
        <v>322</v>
      </c>
      <c r="B496" s="51" t="s">
        <v>711</v>
      </c>
      <c r="C496" s="49">
        <v>20.3</v>
      </c>
      <c r="D496" s="51" t="s">
        <v>105</v>
      </c>
      <c r="K496" s="35" t="s">
        <v>48</v>
      </c>
      <c r="N496" s="26" t="s">
        <v>644</v>
      </c>
      <c r="O496" s="27" t="s">
        <v>712</v>
      </c>
      <c r="Z496" s="32"/>
      <c r="AG496" s="47" t="str">
        <f t="shared" si="40"/>
        <v>|</v>
      </c>
      <c r="AI496" s="26" t="s">
        <v>685</v>
      </c>
    </row>
    <row r="497" spans="1:35" ht="33.75" customHeight="1">
      <c r="A497" s="50">
        <f>(A496+1)</f>
        <v>323</v>
      </c>
      <c r="B497" s="51" t="s">
        <v>713</v>
      </c>
      <c r="C497" s="52">
        <v>11.5</v>
      </c>
      <c r="D497" s="51" t="s">
        <v>105</v>
      </c>
      <c r="H497" s="42" t="s">
        <v>403</v>
      </c>
      <c r="K497" s="39">
        <f>(K495/10)</f>
        <v>348.60791999999998</v>
      </c>
      <c r="O497" s="35" t="s">
        <v>48</v>
      </c>
      <c r="Z497" s="32"/>
      <c r="AG497" s="47" t="str">
        <f t="shared" si="40"/>
        <v>|</v>
      </c>
      <c r="AI497" s="26" t="s">
        <v>685</v>
      </c>
    </row>
    <row r="498" spans="1:35" ht="36" customHeight="1">
      <c r="A498" s="66"/>
      <c r="B498" s="66"/>
      <c r="C498" s="66"/>
      <c r="D498" s="66"/>
      <c r="F498" s="26" t="s">
        <v>27</v>
      </c>
      <c r="AG498" s="47" t="str">
        <f t="shared" si="40"/>
        <v>|</v>
      </c>
      <c r="AI498" s="26" t="s">
        <v>685</v>
      </c>
    </row>
    <row r="499" spans="1:35" ht="24" customHeight="1">
      <c r="A499" s="50">
        <f>(A497+1)</f>
        <v>324</v>
      </c>
      <c r="B499" s="51" t="s">
        <v>714</v>
      </c>
      <c r="C499" s="49">
        <v>28.6</v>
      </c>
      <c r="D499" s="51" t="s">
        <v>105</v>
      </c>
      <c r="K499" s="35" t="s">
        <v>41</v>
      </c>
      <c r="M499" s="40">
        <v>30</v>
      </c>
      <c r="N499" s="26" t="s">
        <v>244</v>
      </c>
      <c r="O499" s="26" t="s">
        <v>715</v>
      </c>
      <c r="P499" s="40">
        <f>(C42)</f>
        <v>5</v>
      </c>
      <c r="Q499" s="26" t="s">
        <v>244</v>
      </c>
      <c r="R499" s="40">
        <f>(M499*P499)</f>
        <v>150</v>
      </c>
      <c r="AG499" s="47" t="str">
        <f t="shared" si="40"/>
        <v>|</v>
      </c>
      <c r="AI499" s="26" t="s">
        <v>685</v>
      </c>
    </row>
    <row r="500" spans="1:35" ht="24" customHeight="1">
      <c r="A500" s="50">
        <f t="shared" ref="A500:A562" si="45">(A499+1)</f>
        <v>325</v>
      </c>
      <c r="B500" s="51" t="s">
        <v>716</v>
      </c>
      <c r="C500" s="52">
        <v>56.74</v>
      </c>
      <c r="D500" s="51" t="s">
        <v>105</v>
      </c>
      <c r="F500" s="27"/>
      <c r="G500" s="38" t="s">
        <v>67</v>
      </c>
      <c r="H500" s="26" t="s">
        <v>717</v>
      </c>
      <c r="M500" s="26" t="s">
        <v>27</v>
      </c>
      <c r="O500" s="26" t="s">
        <v>718</v>
      </c>
      <c r="P500" s="26" t="s">
        <v>27</v>
      </c>
      <c r="R500" s="26" t="s">
        <v>27</v>
      </c>
      <c r="AG500" s="47" t="str">
        <f t="shared" si="40"/>
        <v>|</v>
      </c>
      <c r="AI500" s="26" t="s">
        <v>685</v>
      </c>
    </row>
    <row r="501" spans="1:35" ht="24" customHeight="1">
      <c r="A501" s="50">
        <f t="shared" si="45"/>
        <v>326</v>
      </c>
      <c r="B501" s="51" t="s">
        <v>719</v>
      </c>
      <c r="C501" s="52">
        <v>56.74</v>
      </c>
      <c r="D501" s="51" t="s">
        <v>105</v>
      </c>
      <c r="H501" s="26" t="s">
        <v>500</v>
      </c>
      <c r="M501" s="40">
        <v>8</v>
      </c>
      <c r="N501" s="26" t="s">
        <v>105</v>
      </c>
      <c r="O501" s="26" t="s">
        <v>657</v>
      </c>
      <c r="P501" s="40">
        <f>(C43)</f>
        <v>7.1</v>
      </c>
      <c r="Q501" s="26" t="s">
        <v>105</v>
      </c>
      <c r="R501" s="40">
        <f t="shared" ref="R501:R506" si="46">(M501*P501)</f>
        <v>56.8</v>
      </c>
      <c r="AG501" s="47" t="str">
        <f t="shared" si="40"/>
        <v>|</v>
      </c>
      <c r="AI501" s="26" t="s">
        <v>685</v>
      </c>
    </row>
    <row r="502" spans="1:35" ht="45.75" customHeight="1">
      <c r="A502" s="50">
        <f t="shared" si="45"/>
        <v>327</v>
      </c>
      <c r="B502" s="123" t="s">
        <v>720</v>
      </c>
      <c r="C502" s="66"/>
      <c r="D502" s="51" t="s">
        <v>27</v>
      </c>
      <c r="H502" s="35" t="s">
        <v>48</v>
      </c>
      <c r="M502" s="40">
        <v>8</v>
      </c>
      <c r="N502" s="26" t="s">
        <v>105</v>
      </c>
      <c r="O502" s="26" t="s">
        <v>660</v>
      </c>
      <c r="P502" s="40">
        <f>(C50)</f>
        <v>10</v>
      </c>
      <c r="Q502" s="26" t="s">
        <v>105</v>
      </c>
      <c r="R502" s="40">
        <f t="shared" si="46"/>
        <v>80</v>
      </c>
      <c r="AG502" s="47" t="str">
        <f t="shared" si="40"/>
        <v>|</v>
      </c>
      <c r="AI502" s="26" t="s">
        <v>685</v>
      </c>
    </row>
    <row r="503" spans="1:35" ht="24" customHeight="1">
      <c r="A503" s="50">
        <f t="shared" si="45"/>
        <v>328</v>
      </c>
      <c r="B503" s="51" t="s">
        <v>721</v>
      </c>
      <c r="C503" s="49">
        <v>69.8</v>
      </c>
      <c r="D503" s="51" t="s">
        <v>105</v>
      </c>
      <c r="F503" s="40">
        <v>9</v>
      </c>
      <c r="G503" s="38" t="s">
        <v>93</v>
      </c>
      <c r="H503" s="26" t="s">
        <v>722</v>
      </c>
      <c r="I503" s="40">
        <f>(C70)</f>
        <v>2252.4699999999998</v>
      </c>
      <c r="J503" s="26" t="s">
        <v>93</v>
      </c>
      <c r="K503" s="40">
        <f t="shared" ref="K503:K508" si="47">(F503*I503)</f>
        <v>20272.23</v>
      </c>
      <c r="M503" s="40">
        <v>3</v>
      </c>
      <c r="N503" s="26" t="s">
        <v>105</v>
      </c>
      <c r="O503" s="26" t="s">
        <v>723</v>
      </c>
      <c r="P503" s="40">
        <f>(C41)</f>
        <v>796.59999999999991</v>
      </c>
      <c r="Q503" s="26" t="s">
        <v>105</v>
      </c>
      <c r="R503" s="40">
        <f t="shared" si="46"/>
        <v>2389.7999999999997</v>
      </c>
      <c r="AG503" s="47" t="str">
        <f t="shared" si="40"/>
        <v>|</v>
      </c>
      <c r="AI503" s="26" t="s">
        <v>685</v>
      </c>
    </row>
    <row r="504" spans="1:35" ht="24" customHeight="1">
      <c r="A504" s="50">
        <f t="shared" si="45"/>
        <v>329</v>
      </c>
      <c r="B504" s="51" t="s">
        <v>713</v>
      </c>
      <c r="C504" s="52">
        <v>15.6</v>
      </c>
      <c r="D504" s="51" t="s">
        <v>105</v>
      </c>
      <c r="F504" s="76">
        <v>3.2309999999999999</v>
      </c>
      <c r="G504" s="38" t="s">
        <v>84</v>
      </c>
      <c r="H504" s="26" t="s">
        <v>85</v>
      </c>
      <c r="I504" s="40">
        <f>(C67)</f>
        <v>5800</v>
      </c>
      <c r="J504" s="26" t="s">
        <v>84</v>
      </c>
      <c r="K504" s="40">
        <f t="shared" si="47"/>
        <v>18739.8</v>
      </c>
      <c r="M504" s="40">
        <v>1</v>
      </c>
      <c r="N504" s="26" t="s">
        <v>105</v>
      </c>
      <c r="O504" s="26" t="s">
        <v>724</v>
      </c>
      <c r="P504" s="40">
        <f>(C10)</f>
        <v>1076.5999999999999</v>
      </c>
      <c r="Q504" s="26" t="s">
        <v>105</v>
      </c>
      <c r="R504" s="40">
        <f t="shared" si="46"/>
        <v>1076.5999999999999</v>
      </c>
      <c r="AG504" s="47" t="str">
        <f t="shared" si="40"/>
        <v>|</v>
      </c>
      <c r="AI504" s="26" t="s">
        <v>685</v>
      </c>
    </row>
    <row r="505" spans="1:35" ht="24" customHeight="1">
      <c r="A505" s="50">
        <f t="shared" si="45"/>
        <v>330</v>
      </c>
      <c r="B505" s="51" t="s">
        <v>725</v>
      </c>
      <c r="C505" s="49">
        <v>75.3</v>
      </c>
      <c r="D505" s="51" t="s">
        <v>105</v>
      </c>
      <c r="F505" s="40">
        <v>4.5</v>
      </c>
      <c r="G505" s="38" t="s">
        <v>93</v>
      </c>
      <c r="H505" s="26" t="s">
        <v>94</v>
      </c>
      <c r="I505" s="40">
        <f>(C78)</f>
        <v>2765.84</v>
      </c>
      <c r="J505" s="26" t="s">
        <v>93</v>
      </c>
      <c r="K505" s="40">
        <f t="shared" si="47"/>
        <v>12446.28</v>
      </c>
      <c r="M505" s="40">
        <v>2</v>
      </c>
      <c r="N505" s="26" t="s">
        <v>105</v>
      </c>
      <c r="O505" s="26" t="s">
        <v>271</v>
      </c>
      <c r="P505" s="40">
        <f>(C12)</f>
        <v>702.8</v>
      </c>
      <c r="Q505" s="26" t="s">
        <v>105</v>
      </c>
      <c r="R505" s="40">
        <f t="shared" si="46"/>
        <v>1405.6</v>
      </c>
      <c r="AG505" s="47" t="str">
        <f t="shared" si="40"/>
        <v>|</v>
      </c>
      <c r="AI505" s="26" t="s">
        <v>685</v>
      </c>
    </row>
    <row r="506" spans="1:35" ht="24" customHeight="1">
      <c r="A506" s="50">
        <f t="shared" si="45"/>
        <v>331</v>
      </c>
      <c r="B506" s="51" t="s">
        <v>716</v>
      </c>
      <c r="C506" s="52">
        <v>100.3</v>
      </c>
      <c r="D506" s="51" t="s">
        <v>105</v>
      </c>
      <c r="F506" s="40">
        <v>3.5</v>
      </c>
      <c r="G506" s="38" t="s">
        <v>105</v>
      </c>
      <c r="H506" s="26" t="s">
        <v>269</v>
      </c>
      <c r="I506" s="40">
        <f>(C11)</f>
        <v>1005.1999999999999</v>
      </c>
      <c r="J506" s="26" t="s">
        <v>105</v>
      </c>
      <c r="K506" s="40">
        <f t="shared" si="47"/>
        <v>3518.2</v>
      </c>
      <c r="M506" s="40">
        <v>1</v>
      </c>
      <c r="N506" s="26" t="s">
        <v>105</v>
      </c>
      <c r="O506" s="26" t="s">
        <v>276</v>
      </c>
      <c r="P506" s="40">
        <f>(C13)</f>
        <v>576.79999999999995</v>
      </c>
      <c r="Q506" s="26" t="s">
        <v>105</v>
      </c>
      <c r="R506" s="40">
        <f t="shared" si="46"/>
        <v>576.79999999999995</v>
      </c>
      <c r="AG506" s="47" t="str">
        <f t="shared" si="40"/>
        <v>|</v>
      </c>
      <c r="AI506" s="26" t="s">
        <v>685</v>
      </c>
    </row>
    <row r="507" spans="1:35" ht="24" customHeight="1">
      <c r="A507" s="50">
        <f t="shared" si="45"/>
        <v>332</v>
      </c>
      <c r="B507" s="51" t="s">
        <v>719</v>
      </c>
      <c r="C507" s="52">
        <v>100.3</v>
      </c>
      <c r="D507" s="51" t="s">
        <v>105</v>
      </c>
      <c r="F507" s="40">
        <v>21.2</v>
      </c>
      <c r="G507" s="38" t="s">
        <v>105</v>
      </c>
      <c r="H507" s="26" t="s">
        <v>271</v>
      </c>
      <c r="I507" s="40">
        <f>(C12)</f>
        <v>702.8</v>
      </c>
      <c r="J507" s="26" t="s">
        <v>105</v>
      </c>
      <c r="K507" s="40">
        <f t="shared" si="47"/>
        <v>14899.359999999999</v>
      </c>
      <c r="N507" s="26" t="s">
        <v>106</v>
      </c>
      <c r="O507" s="26" t="s">
        <v>726</v>
      </c>
      <c r="P507" s="26" t="s">
        <v>27</v>
      </c>
      <c r="Q507" s="26" t="s">
        <v>106</v>
      </c>
      <c r="R507" s="40">
        <f>(C56)</f>
        <v>12.1</v>
      </c>
      <c r="AG507" s="47" t="str">
        <f t="shared" si="40"/>
        <v>|</v>
      </c>
      <c r="AI507" s="26" t="s">
        <v>685</v>
      </c>
    </row>
    <row r="508" spans="1:35" ht="24" customHeight="1">
      <c r="A508" s="50">
        <f t="shared" si="45"/>
        <v>333</v>
      </c>
      <c r="B508" s="123" t="s">
        <v>727</v>
      </c>
      <c r="C508" s="66"/>
      <c r="D508" s="51" t="s">
        <v>27</v>
      </c>
      <c r="F508" s="40">
        <v>35.299999999999997</v>
      </c>
      <c r="G508" s="38" t="s">
        <v>105</v>
      </c>
      <c r="H508" s="26" t="s">
        <v>276</v>
      </c>
      <c r="I508" s="40">
        <f>(C13)</f>
        <v>576.79999999999995</v>
      </c>
      <c r="J508" s="26" t="s">
        <v>105</v>
      </c>
      <c r="K508" s="40">
        <f t="shared" si="47"/>
        <v>20361.039999999997</v>
      </c>
      <c r="O508" s="26" t="s">
        <v>728</v>
      </c>
      <c r="P508" s="26" t="s">
        <v>27</v>
      </c>
      <c r="R508" s="26" t="s">
        <v>27</v>
      </c>
      <c r="AG508" s="47" t="str">
        <f t="shared" si="40"/>
        <v>|</v>
      </c>
      <c r="AI508" s="26" t="s">
        <v>685</v>
      </c>
    </row>
    <row r="509" spans="1:35" ht="24" customHeight="1">
      <c r="A509" s="50">
        <f t="shared" si="45"/>
        <v>334</v>
      </c>
      <c r="B509" s="51" t="s">
        <v>721</v>
      </c>
      <c r="C509" s="49">
        <v>40.4</v>
      </c>
      <c r="D509" s="51" t="s">
        <v>105</v>
      </c>
      <c r="G509" s="38" t="s">
        <v>106</v>
      </c>
      <c r="H509" s="26" t="s">
        <v>107</v>
      </c>
      <c r="I509" s="26" t="s">
        <v>27</v>
      </c>
      <c r="J509" s="26" t="s">
        <v>106</v>
      </c>
      <c r="K509" s="40">
        <v>0</v>
      </c>
      <c r="N509" s="26" t="s">
        <v>106</v>
      </c>
      <c r="O509" s="26" t="s">
        <v>107</v>
      </c>
      <c r="Q509" s="26" t="s">
        <v>106</v>
      </c>
      <c r="R509" s="40">
        <v>0</v>
      </c>
      <c r="AG509" s="47" t="str">
        <f t="shared" si="40"/>
        <v>|</v>
      </c>
      <c r="AI509" s="26" t="s">
        <v>685</v>
      </c>
    </row>
    <row r="510" spans="1:35" ht="24" customHeight="1">
      <c r="A510" s="50">
        <f t="shared" si="45"/>
        <v>335</v>
      </c>
      <c r="B510" s="51" t="s">
        <v>713</v>
      </c>
      <c r="C510" s="125">
        <v>47</v>
      </c>
      <c r="D510" s="51" t="s">
        <v>105</v>
      </c>
      <c r="K510" s="35" t="s">
        <v>48</v>
      </c>
      <c r="R510" s="35" t="s">
        <v>48</v>
      </c>
      <c r="AG510" s="47" t="str">
        <f t="shared" si="40"/>
        <v>|</v>
      </c>
      <c r="AI510" s="26" t="s">
        <v>685</v>
      </c>
    </row>
    <row r="511" spans="1:35" ht="24" customHeight="1">
      <c r="A511" s="50">
        <f t="shared" si="45"/>
        <v>336</v>
      </c>
      <c r="B511" s="51" t="s">
        <v>725</v>
      </c>
      <c r="C511" s="49">
        <v>52</v>
      </c>
      <c r="D511" s="51" t="s">
        <v>105</v>
      </c>
      <c r="H511" s="26" t="s">
        <v>515</v>
      </c>
      <c r="K511" s="40">
        <f>SUM(K503:K509)</f>
        <v>90236.909999999989</v>
      </c>
      <c r="O511" s="26" t="s">
        <v>729</v>
      </c>
      <c r="R511" s="40">
        <f>SUM(R499:R509)</f>
        <v>5747.7</v>
      </c>
      <c r="AG511" s="47" t="str">
        <f t="shared" si="40"/>
        <v>|</v>
      </c>
      <c r="AI511" s="26" t="s">
        <v>685</v>
      </c>
    </row>
    <row r="512" spans="1:35" ht="24" customHeight="1">
      <c r="A512" s="50">
        <f t="shared" si="45"/>
        <v>337</v>
      </c>
      <c r="B512" s="51" t="s">
        <v>730</v>
      </c>
      <c r="C512" s="52">
        <v>36.61</v>
      </c>
      <c r="D512" s="51" t="s">
        <v>105</v>
      </c>
      <c r="K512" s="35" t="s">
        <v>48</v>
      </c>
      <c r="R512" s="35" t="s">
        <v>48</v>
      </c>
      <c r="AG512" s="47" t="str">
        <f t="shared" si="40"/>
        <v>|</v>
      </c>
      <c r="AI512" s="26" t="s">
        <v>685</v>
      </c>
    </row>
    <row r="513" spans="1:35" ht="24" customHeight="1">
      <c r="A513" s="50">
        <f t="shared" si="45"/>
        <v>338</v>
      </c>
      <c r="B513" s="51" t="s">
        <v>716</v>
      </c>
      <c r="C513" s="52">
        <v>78.709999999999994</v>
      </c>
      <c r="D513" s="51" t="s">
        <v>105</v>
      </c>
      <c r="H513" s="26" t="s">
        <v>201</v>
      </c>
      <c r="K513" s="40">
        <f>(K511/10)+0.01</f>
        <v>9023.7009999999991</v>
      </c>
      <c r="O513" s="26" t="s">
        <v>665</v>
      </c>
      <c r="R513" s="40">
        <f>(R511/30)</f>
        <v>191.59</v>
      </c>
      <c r="AG513" s="47" t="str">
        <f t="shared" si="40"/>
        <v>|</v>
      </c>
      <c r="AI513" s="26" t="s">
        <v>685</v>
      </c>
    </row>
    <row r="514" spans="1:35" ht="24" customHeight="1">
      <c r="A514" s="50">
        <f t="shared" si="45"/>
        <v>339</v>
      </c>
      <c r="B514" s="51" t="s">
        <v>719</v>
      </c>
      <c r="C514" s="52">
        <v>78.709999999999994</v>
      </c>
      <c r="D514" s="51" t="s">
        <v>105</v>
      </c>
      <c r="R514" s="35" t="s">
        <v>48</v>
      </c>
      <c r="AG514" s="47">
        <f t="shared" si="40"/>
        <v>0</v>
      </c>
    </row>
    <row r="515" spans="1:35" ht="24" customHeight="1">
      <c r="A515" s="50">
        <f t="shared" si="45"/>
        <v>340</v>
      </c>
      <c r="B515" s="51" t="s">
        <v>731</v>
      </c>
      <c r="C515" s="66"/>
      <c r="D515" s="51" t="s">
        <v>732</v>
      </c>
      <c r="F515" s="40">
        <v>1</v>
      </c>
      <c r="G515" s="38" t="s">
        <v>93</v>
      </c>
      <c r="H515" s="26" t="s">
        <v>523</v>
      </c>
      <c r="K515" s="40">
        <f>C25</f>
        <v>98.98</v>
      </c>
      <c r="N515" s="26" t="s">
        <v>668</v>
      </c>
      <c r="O515" s="27" t="s">
        <v>733</v>
      </c>
      <c r="AG515" s="47" t="str">
        <f t="shared" si="40"/>
        <v>|</v>
      </c>
      <c r="AI515" s="26" t="s">
        <v>685</v>
      </c>
    </row>
    <row r="516" spans="1:35" ht="24" customHeight="1">
      <c r="A516" s="50">
        <f t="shared" si="45"/>
        <v>341</v>
      </c>
      <c r="B516" s="51" t="s">
        <v>734</v>
      </c>
      <c r="C516" s="73">
        <v>20.55</v>
      </c>
      <c r="D516" s="51" t="s">
        <v>244</v>
      </c>
      <c r="K516" s="35" t="s">
        <v>48</v>
      </c>
      <c r="O516" s="35" t="s">
        <v>48</v>
      </c>
      <c r="AG516" s="47" t="str">
        <f t="shared" si="40"/>
        <v>|</v>
      </c>
      <c r="AI516" s="26" t="s">
        <v>685</v>
      </c>
    </row>
    <row r="517" spans="1:35" ht="24" customHeight="1">
      <c r="A517" s="50">
        <f t="shared" si="45"/>
        <v>342</v>
      </c>
      <c r="B517" s="51" t="s">
        <v>735</v>
      </c>
      <c r="C517" s="73">
        <v>26</v>
      </c>
      <c r="D517" s="51" t="s">
        <v>244</v>
      </c>
      <c r="E517" s="105">
        <v>97.7</v>
      </c>
      <c r="H517" s="26" t="s">
        <v>736</v>
      </c>
      <c r="K517" s="40">
        <f>SUM(K513:K515)</f>
        <v>9122.6809999999987</v>
      </c>
      <c r="M517" s="40">
        <v>30</v>
      </c>
      <c r="N517" s="26" t="s">
        <v>244</v>
      </c>
      <c r="O517" s="26" t="s">
        <v>715</v>
      </c>
      <c r="P517" s="40">
        <f>(C42)</f>
        <v>5</v>
      </c>
      <c r="Q517" s="26" t="s">
        <v>244</v>
      </c>
      <c r="R517" s="40">
        <f>(M517*P517)</f>
        <v>150</v>
      </c>
      <c r="AG517" s="47" t="str">
        <f t="shared" si="40"/>
        <v>|</v>
      </c>
      <c r="AI517" s="26" t="s">
        <v>685</v>
      </c>
    </row>
    <row r="518" spans="1:35" ht="24" customHeight="1">
      <c r="A518" s="50">
        <f t="shared" si="45"/>
        <v>343</v>
      </c>
      <c r="B518" s="51" t="s">
        <v>737</v>
      </c>
      <c r="C518" s="73">
        <v>35</v>
      </c>
      <c r="D518" s="51" t="s">
        <v>244</v>
      </c>
      <c r="K518" s="35" t="s">
        <v>48</v>
      </c>
      <c r="M518" s="26" t="s">
        <v>27</v>
      </c>
      <c r="O518" s="26" t="s">
        <v>718</v>
      </c>
      <c r="P518" s="26" t="s">
        <v>27</v>
      </c>
      <c r="R518" s="26" t="s">
        <v>27</v>
      </c>
      <c r="AG518" s="47" t="str">
        <f t="shared" si="40"/>
        <v>|</v>
      </c>
      <c r="AI518" s="26" t="s">
        <v>685</v>
      </c>
    </row>
    <row r="519" spans="1:35" ht="24" customHeight="1">
      <c r="A519" s="50">
        <f t="shared" si="45"/>
        <v>344</v>
      </c>
      <c r="B519" s="51" t="s">
        <v>738</v>
      </c>
      <c r="C519" s="73">
        <v>52</v>
      </c>
      <c r="D519" s="51" t="s">
        <v>244</v>
      </c>
      <c r="G519" s="38" t="s">
        <v>739</v>
      </c>
      <c r="H519" s="26" t="s">
        <v>309</v>
      </c>
      <c r="K519" s="40">
        <f>(K517+C22)</f>
        <v>9248.5409999999993</v>
      </c>
      <c r="L519" s="28">
        <f>K519-K517</f>
        <v>125.86000000000058</v>
      </c>
      <c r="M519" s="40">
        <v>8</v>
      </c>
      <c r="N519" s="26" t="s">
        <v>105</v>
      </c>
      <c r="O519" s="26" t="s">
        <v>657</v>
      </c>
      <c r="P519" s="40">
        <f>(C44)</f>
        <v>7.1</v>
      </c>
      <c r="Q519" s="26" t="s">
        <v>105</v>
      </c>
      <c r="R519" s="40">
        <f t="shared" ref="R519:R524" si="48">(M519*P519)</f>
        <v>56.8</v>
      </c>
      <c r="AG519" s="47" t="str">
        <f t="shared" si="40"/>
        <v>|</v>
      </c>
      <c r="AI519" s="26" t="s">
        <v>685</v>
      </c>
    </row>
    <row r="520" spans="1:35" ht="24" customHeight="1">
      <c r="A520" s="50">
        <f t="shared" si="45"/>
        <v>345</v>
      </c>
      <c r="B520" s="51" t="s">
        <v>740</v>
      </c>
      <c r="C520" s="73">
        <v>65</v>
      </c>
      <c r="D520" s="52">
        <v>21</v>
      </c>
      <c r="G520" s="38" t="s">
        <v>741</v>
      </c>
      <c r="H520" s="26" t="s">
        <v>313</v>
      </c>
      <c r="K520" s="40">
        <f>(K519+C23)</f>
        <v>9496.3409999999985</v>
      </c>
      <c r="M520" s="40">
        <v>8</v>
      </c>
      <c r="N520" s="26" t="s">
        <v>105</v>
      </c>
      <c r="O520" s="26" t="s">
        <v>660</v>
      </c>
      <c r="P520" s="40">
        <f>(C51)</f>
        <v>10.199999999999999</v>
      </c>
      <c r="Q520" s="26" t="s">
        <v>105</v>
      </c>
      <c r="R520" s="40">
        <f t="shared" si="48"/>
        <v>81.599999999999994</v>
      </c>
      <c r="AG520" s="47" t="str">
        <f t="shared" si="40"/>
        <v>|</v>
      </c>
      <c r="AI520" s="26" t="s">
        <v>685</v>
      </c>
    </row>
    <row r="521" spans="1:35" ht="24" customHeight="1">
      <c r="A521" s="50">
        <f t="shared" si="45"/>
        <v>346</v>
      </c>
      <c r="B521" s="51" t="s">
        <v>742</v>
      </c>
      <c r="C521" s="73">
        <v>82</v>
      </c>
      <c r="D521" s="52">
        <v>37.15</v>
      </c>
      <c r="G521" s="38" t="s">
        <v>743</v>
      </c>
      <c r="H521" s="26" t="s">
        <v>316</v>
      </c>
      <c r="K521" s="40">
        <f>(K520+C24)</f>
        <v>9744.1409999999978</v>
      </c>
      <c r="M521" s="40">
        <v>3</v>
      </c>
      <c r="N521" s="26" t="s">
        <v>105</v>
      </c>
      <c r="O521" s="26" t="s">
        <v>723</v>
      </c>
      <c r="P521" s="40">
        <f>(C41)</f>
        <v>796.59999999999991</v>
      </c>
      <c r="Q521" s="26" t="s">
        <v>105</v>
      </c>
      <c r="R521" s="40">
        <f t="shared" si="48"/>
        <v>2389.7999999999997</v>
      </c>
      <c r="AG521" s="47" t="str">
        <f t="shared" si="40"/>
        <v>|</v>
      </c>
      <c r="AI521" s="26" t="s">
        <v>685</v>
      </c>
    </row>
    <row r="522" spans="1:35" ht="24" customHeight="1">
      <c r="A522" s="50">
        <f t="shared" si="45"/>
        <v>347</v>
      </c>
      <c r="B522" s="51" t="s">
        <v>744</v>
      </c>
      <c r="C522" s="66"/>
      <c r="D522" s="51" t="s">
        <v>27</v>
      </c>
      <c r="G522" s="38" t="s">
        <v>745</v>
      </c>
      <c r="H522" s="26" t="s">
        <v>318</v>
      </c>
      <c r="K522" s="40">
        <f>(K521+C24)</f>
        <v>9991.9409999999971</v>
      </c>
      <c r="M522" s="40">
        <v>1</v>
      </c>
      <c r="N522" s="26" t="s">
        <v>105</v>
      </c>
      <c r="O522" s="26" t="s">
        <v>724</v>
      </c>
      <c r="P522" s="40">
        <f>(C10)</f>
        <v>1076.5999999999999</v>
      </c>
      <c r="Q522" s="26" t="s">
        <v>105</v>
      </c>
      <c r="R522" s="40">
        <f t="shared" si="48"/>
        <v>1076.5999999999999</v>
      </c>
      <c r="AG522" s="47" t="str">
        <f t="shared" si="40"/>
        <v>|::</v>
      </c>
      <c r="AI522" s="26" t="s">
        <v>469</v>
      </c>
    </row>
    <row r="523" spans="1:35" ht="24" customHeight="1">
      <c r="A523" s="50">
        <f t="shared" si="45"/>
        <v>348</v>
      </c>
      <c r="B523" s="51" t="s">
        <v>620</v>
      </c>
      <c r="C523" s="52">
        <v>4.1900000000000004</v>
      </c>
      <c r="D523" s="51" t="s">
        <v>105</v>
      </c>
      <c r="M523" s="40">
        <v>2</v>
      </c>
      <c r="N523" s="26" t="s">
        <v>105</v>
      </c>
      <c r="O523" s="26" t="s">
        <v>271</v>
      </c>
      <c r="P523" s="40">
        <f>(C12)</f>
        <v>702.8</v>
      </c>
      <c r="Q523" s="26" t="s">
        <v>105</v>
      </c>
      <c r="R523" s="40">
        <f t="shared" si="48"/>
        <v>1405.6</v>
      </c>
      <c r="AG523" s="47">
        <f t="shared" si="40"/>
        <v>0</v>
      </c>
    </row>
    <row r="524" spans="1:35" ht="24" customHeight="1">
      <c r="A524" s="50">
        <f t="shared" si="45"/>
        <v>349</v>
      </c>
      <c r="B524" s="51" t="s">
        <v>613</v>
      </c>
      <c r="C524" s="52">
        <v>5</v>
      </c>
      <c r="D524" s="51" t="s">
        <v>105</v>
      </c>
      <c r="F524" s="27" t="s">
        <v>746</v>
      </c>
      <c r="G524" s="38" t="s">
        <v>67</v>
      </c>
      <c r="H524" s="26" t="s">
        <v>747</v>
      </c>
      <c r="M524" s="40">
        <v>1</v>
      </c>
      <c r="N524" s="26" t="s">
        <v>105</v>
      </c>
      <c r="O524" s="26" t="s">
        <v>276</v>
      </c>
      <c r="P524" s="40">
        <f>(C13)</f>
        <v>576.79999999999995</v>
      </c>
      <c r="Q524" s="26" t="s">
        <v>105</v>
      </c>
      <c r="R524" s="40">
        <f t="shared" si="48"/>
        <v>576.79999999999995</v>
      </c>
      <c r="AG524" s="47">
        <f t="shared" si="40"/>
        <v>0</v>
      </c>
    </row>
    <row r="525" spans="1:35" ht="24" customHeight="1">
      <c r="A525" s="50">
        <f t="shared" si="45"/>
        <v>350</v>
      </c>
      <c r="B525" s="51" t="s">
        <v>615</v>
      </c>
      <c r="C525" s="52">
        <v>8.06</v>
      </c>
      <c r="D525" s="51" t="s">
        <v>105</v>
      </c>
      <c r="H525" s="35" t="s">
        <v>48</v>
      </c>
      <c r="N525" s="26" t="s">
        <v>106</v>
      </c>
      <c r="O525" s="26" t="s">
        <v>726</v>
      </c>
      <c r="P525" s="26" t="s">
        <v>27</v>
      </c>
      <c r="Q525" s="26" t="s">
        <v>106</v>
      </c>
      <c r="R525" s="40">
        <f>(C56)</f>
        <v>12.1</v>
      </c>
      <c r="U525" s="126" t="s">
        <v>748</v>
      </c>
      <c r="AC525" s="126" t="s">
        <v>749</v>
      </c>
      <c r="AG525" s="47" t="str">
        <f t="shared" ref="AG525:AG596" si="49">AI525</f>
        <v>|</v>
      </c>
      <c r="AI525" s="26" t="s">
        <v>685</v>
      </c>
    </row>
    <row r="526" spans="1:35" ht="24" customHeight="1">
      <c r="A526" s="50">
        <f t="shared" si="45"/>
        <v>351</v>
      </c>
      <c r="B526" s="51" t="s">
        <v>616</v>
      </c>
      <c r="C526" s="52">
        <v>11.86</v>
      </c>
      <c r="D526" s="51" t="s">
        <v>105</v>
      </c>
      <c r="F526" s="76">
        <v>1.4999999999999999E-2</v>
      </c>
      <c r="G526" s="38" t="s">
        <v>93</v>
      </c>
      <c r="H526" s="26" t="s">
        <v>750</v>
      </c>
      <c r="I526" s="40">
        <f>(K513)</f>
        <v>9023.7009999999991</v>
      </c>
      <c r="J526" s="26" t="s">
        <v>93</v>
      </c>
      <c r="K526" s="40">
        <f>(F526*I526)</f>
        <v>135.35551499999997</v>
      </c>
      <c r="O526" s="26" t="s">
        <v>728</v>
      </c>
      <c r="P526" s="26" t="s">
        <v>27</v>
      </c>
      <c r="R526" s="26" t="s">
        <v>27</v>
      </c>
      <c r="S526" s="27" t="s">
        <v>746</v>
      </c>
      <c r="T526" s="38" t="s">
        <v>67</v>
      </c>
      <c r="U526" s="26" t="s">
        <v>751</v>
      </c>
      <c r="W526" s="31"/>
      <c r="Z526" s="27" t="s">
        <v>746</v>
      </c>
      <c r="AA526" s="38" t="s">
        <v>67</v>
      </c>
      <c r="AB526" s="38"/>
      <c r="AC526" s="26" t="s">
        <v>752</v>
      </c>
      <c r="AE526" s="31"/>
      <c r="AG526" s="47" t="str">
        <f t="shared" si="49"/>
        <v>|</v>
      </c>
      <c r="AI526" s="26" t="s">
        <v>685</v>
      </c>
    </row>
    <row r="527" spans="1:35" ht="24" customHeight="1">
      <c r="A527" s="50">
        <f t="shared" si="45"/>
        <v>352</v>
      </c>
      <c r="B527" s="51" t="s">
        <v>617</v>
      </c>
      <c r="C527" s="52">
        <v>18.88</v>
      </c>
      <c r="D527" s="51" t="s">
        <v>105</v>
      </c>
      <c r="F527" s="40">
        <v>0.5</v>
      </c>
      <c r="G527" s="38" t="s">
        <v>196</v>
      </c>
      <c r="H527" s="26" t="s">
        <v>298</v>
      </c>
      <c r="I527" s="40">
        <f>(C10)</f>
        <v>1076.5999999999999</v>
      </c>
      <c r="J527" s="26" t="s">
        <v>196</v>
      </c>
      <c r="K527" s="40">
        <f>(F527*I527)</f>
        <v>538.29999999999995</v>
      </c>
      <c r="N527" s="26" t="s">
        <v>106</v>
      </c>
      <c r="O527" s="26" t="s">
        <v>107</v>
      </c>
      <c r="Q527" s="26" t="s">
        <v>106</v>
      </c>
      <c r="R527" s="40">
        <v>0</v>
      </c>
      <c r="S527" s="28"/>
      <c r="T527" s="29"/>
      <c r="U527" s="35" t="s">
        <v>48</v>
      </c>
      <c r="W527" s="31"/>
      <c r="AA527" s="29"/>
      <c r="AB527" s="29"/>
      <c r="AC527" s="35" t="s">
        <v>48</v>
      </c>
      <c r="AE527" s="31"/>
      <c r="AG527" s="47" t="str">
        <f t="shared" si="49"/>
        <v>|</v>
      </c>
      <c r="AI527" s="26" t="s">
        <v>685</v>
      </c>
    </row>
    <row r="528" spans="1:35" ht="24" customHeight="1">
      <c r="A528" s="50">
        <f t="shared" si="45"/>
        <v>353</v>
      </c>
      <c r="B528" s="51" t="s">
        <v>561</v>
      </c>
      <c r="C528" s="52">
        <v>26</v>
      </c>
      <c r="D528" s="51" t="s">
        <v>105</v>
      </c>
      <c r="F528" s="40">
        <v>0.75</v>
      </c>
      <c r="G528" s="38" t="s">
        <v>196</v>
      </c>
      <c r="H528" s="26" t="s">
        <v>271</v>
      </c>
      <c r="I528" s="40">
        <f>(C12)</f>
        <v>702.8</v>
      </c>
      <c r="J528" s="26" t="s">
        <v>196</v>
      </c>
      <c r="K528" s="40">
        <f>(F528*I528)</f>
        <v>527.09999999999991</v>
      </c>
      <c r="R528" s="35" t="s">
        <v>48</v>
      </c>
      <c r="S528" s="76">
        <v>1.4999999999999999E-2</v>
      </c>
      <c r="T528" s="38" t="s">
        <v>93</v>
      </c>
      <c r="U528" s="26" t="s">
        <v>750</v>
      </c>
      <c r="V528" s="40">
        <f>X657</f>
        <v>9085.1270972999991</v>
      </c>
      <c r="W528" s="26" t="s">
        <v>93</v>
      </c>
      <c r="X528" s="40">
        <f>(S528*V528)</f>
        <v>136.27690645949997</v>
      </c>
      <c r="Y528" s="40"/>
      <c r="Z528" s="76">
        <v>1.4999999999999999E-2</v>
      </c>
      <c r="AA528" s="38" t="s">
        <v>93</v>
      </c>
      <c r="AB528" s="38"/>
      <c r="AC528" s="26" t="s">
        <v>750</v>
      </c>
      <c r="AD528" s="40">
        <f>AH657</f>
        <v>9609.656697299999</v>
      </c>
      <c r="AE528" s="26" t="s">
        <v>93</v>
      </c>
      <c r="AF528" s="40">
        <f>(Z528*AD528)</f>
        <v>144.14485045949999</v>
      </c>
      <c r="AG528" s="47" t="str">
        <f t="shared" si="49"/>
        <v>|</v>
      </c>
      <c r="AI528" s="26" t="s">
        <v>685</v>
      </c>
    </row>
    <row r="529" spans="1:35" ht="24" customHeight="1">
      <c r="A529" s="50">
        <f t="shared" si="45"/>
        <v>354</v>
      </c>
      <c r="B529" s="51" t="s">
        <v>753</v>
      </c>
      <c r="C529" s="66"/>
      <c r="D529" s="51" t="s">
        <v>27</v>
      </c>
      <c r="G529" s="38" t="s">
        <v>106</v>
      </c>
      <c r="H529" s="26" t="s">
        <v>107</v>
      </c>
      <c r="J529" s="26" t="s">
        <v>106</v>
      </c>
      <c r="K529" s="40">
        <v>0</v>
      </c>
      <c r="O529" s="26" t="s">
        <v>729</v>
      </c>
      <c r="R529" s="40">
        <f>SUM(R517:R527)</f>
        <v>5749.3</v>
      </c>
      <c r="S529" s="40">
        <v>0.5</v>
      </c>
      <c r="T529" s="38" t="s">
        <v>196</v>
      </c>
      <c r="U529" s="26" t="s">
        <v>298</v>
      </c>
      <c r="V529" s="40">
        <f>C10</f>
        <v>1076.5999999999999</v>
      </c>
      <c r="W529" s="26" t="s">
        <v>196</v>
      </c>
      <c r="X529" s="40">
        <f>(S529*V529)</f>
        <v>538.29999999999995</v>
      </c>
      <c r="Y529" s="40"/>
      <c r="Z529" s="40">
        <v>0.5</v>
      </c>
      <c r="AA529" s="38" t="s">
        <v>196</v>
      </c>
      <c r="AB529" s="38"/>
      <c r="AC529" s="26" t="s">
        <v>298</v>
      </c>
      <c r="AD529" s="40">
        <f>V529</f>
        <v>1076.5999999999999</v>
      </c>
      <c r="AE529" s="26" t="s">
        <v>196</v>
      </c>
      <c r="AF529" s="40">
        <f>(Z529*AD529)</f>
        <v>538.29999999999995</v>
      </c>
      <c r="AG529" s="47" t="str">
        <f t="shared" si="49"/>
        <v>|</v>
      </c>
      <c r="AI529" s="26" t="s">
        <v>685</v>
      </c>
    </row>
    <row r="530" spans="1:35" ht="24" customHeight="1">
      <c r="A530" s="50">
        <f t="shared" si="45"/>
        <v>355</v>
      </c>
      <c r="B530" s="51" t="s">
        <v>620</v>
      </c>
      <c r="C530" s="49">
        <v>5.3</v>
      </c>
      <c r="D530" s="51" t="s">
        <v>105</v>
      </c>
      <c r="K530" s="35" t="s">
        <v>48</v>
      </c>
      <c r="R530" s="35" t="s">
        <v>48</v>
      </c>
      <c r="S530" s="40">
        <v>0.75</v>
      </c>
      <c r="T530" s="38" t="s">
        <v>196</v>
      </c>
      <c r="U530" s="26" t="s">
        <v>271</v>
      </c>
      <c r="V530" s="40">
        <f>C12</f>
        <v>702.8</v>
      </c>
      <c r="W530" s="26" t="s">
        <v>196</v>
      </c>
      <c r="X530" s="40">
        <f>(S530*V530)</f>
        <v>527.09999999999991</v>
      </c>
      <c r="Y530" s="40"/>
      <c r="Z530" s="40">
        <v>0.75</v>
      </c>
      <c r="AA530" s="38" t="s">
        <v>196</v>
      </c>
      <c r="AB530" s="38"/>
      <c r="AC530" s="26" t="s">
        <v>271</v>
      </c>
      <c r="AD530" s="40">
        <f>V530</f>
        <v>702.8</v>
      </c>
      <c r="AE530" s="26" t="s">
        <v>196</v>
      </c>
      <c r="AF530" s="40">
        <f>(Z530*AD530)</f>
        <v>527.09999999999991</v>
      </c>
      <c r="AG530" s="47" t="str">
        <f t="shared" si="49"/>
        <v>|</v>
      </c>
      <c r="AI530" s="26" t="s">
        <v>685</v>
      </c>
    </row>
    <row r="531" spans="1:35" ht="24" customHeight="1">
      <c r="A531" s="50">
        <f t="shared" si="45"/>
        <v>356</v>
      </c>
      <c r="B531" s="51" t="s">
        <v>613</v>
      </c>
      <c r="C531" s="49">
        <v>6</v>
      </c>
      <c r="D531" s="51" t="s">
        <v>105</v>
      </c>
      <c r="H531" s="26" t="s">
        <v>754</v>
      </c>
      <c r="K531" s="40">
        <f>SUM(K526:K529)</f>
        <v>1200.7555149999998</v>
      </c>
      <c r="O531" s="26" t="s">
        <v>665</v>
      </c>
      <c r="R531" s="40">
        <f>(R529/30)</f>
        <v>191.64333333333335</v>
      </c>
      <c r="S531" s="28"/>
      <c r="T531" s="38" t="s">
        <v>106</v>
      </c>
      <c r="U531" s="26" t="s">
        <v>107</v>
      </c>
      <c r="W531" s="26" t="s">
        <v>106</v>
      </c>
      <c r="X531" s="40">
        <v>0</v>
      </c>
      <c r="Y531" s="40"/>
      <c r="AA531" s="38" t="s">
        <v>106</v>
      </c>
      <c r="AB531" s="38"/>
      <c r="AC531" s="26" t="s">
        <v>107</v>
      </c>
      <c r="AD531" s="40">
        <f>V531</f>
        <v>0</v>
      </c>
      <c r="AE531" s="26" t="s">
        <v>106</v>
      </c>
      <c r="AF531" s="40">
        <v>0</v>
      </c>
      <c r="AG531" s="47" t="str">
        <f t="shared" si="49"/>
        <v>|</v>
      </c>
      <c r="AI531" s="26" t="s">
        <v>685</v>
      </c>
    </row>
    <row r="532" spans="1:35" ht="24" customHeight="1">
      <c r="A532" s="50">
        <f t="shared" si="45"/>
        <v>357</v>
      </c>
      <c r="B532" s="51" t="s">
        <v>615</v>
      </c>
      <c r="C532" s="49">
        <v>8.5</v>
      </c>
      <c r="D532" s="51" t="s">
        <v>105</v>
      </c>
      <c r="K532" s="35" t="s">
        <v>48</v>
      </c>
      <c r="R532" s="35" t="s">
        <v>48</v>
      </c>
      <c r="S532" s="28"/>
      <c r="T532" s="29"/>
      <c r="W532" s="31"/>
      <c r="X532" s="35" t="s">
        <v>48</v>
      </c>
      <c r="Y532" s="35"/>
      <c r="AA532" s="29"/>
      <c r="AB532" s="29"/>
      <c r="AE532" s="31"/>
      <c r="AF532" s="35" t="s">
        <v>48</v>
      </c>
      <c r="AG532" s="47" t="str">
        <f t="shared" si="49"/>
        <v>|</v>
      </c>
      <c r="AI532" s="26" t="s">
        <v>685</v>
      </c>
    </row>
    <row r="533" spans="1:35" ht="24" customHeight="1">
      <c r="A533" s="50">
        <f t="shared" si="45"/>
        <v>358</v>
      </c>
      <c r="B533" s="51" t="s">
        <v>616</v>
      </c>
      <c r="C533" s="49">
        <v>12.2</v>
      </c>
      <c r="D533" s="51" t="s">
        <v>105</v>
      </c>
      <c r="H533" s="26" t="s">
        <v>403</v>
      </c>
      <c r="K533" s="40">
        <f>(K531/0.743)</f>
        <v>1616.0908681022879</v>
      </c>
      <c r="S533" s="28"/>
      <c r="T533" s="29"/>
      <c r="U533" s="26" t="s">
        <v>754</v>
      </c>
      <c r="W533" s="31"/>
      <c r="X533" s="40">
        <f>SUM(X528:X531)</f>
        <v>1201.6769064594998</v>
      </c>
      <c r="Y533" s="40"/>
      <c r="AA533" s="29"/>
      <c r="AB533" s="29"/>
      <c r="AC533" s="26" t="s">
        <v>754</v>
      </c>
      <c r="AE533" s="31"/>
      <c r="AF533" s="40">
        <f>SUM(AF528:AF531)</f>
        <v>1209.5448504594999</v>
      </c>
      <c r="AG533" s="47" t="str">
        <f t="shared" si="49"/>
        <v>|</v>
      </c>
      <c r="AI533" s="26" t="s">
        <v>685</v>
      </c>
    </row>
    <row r="534" spans="1:35" ht="24" customHeight="1">
      <c r="A534" s="50">
        <f t="shared" si="45"/>
        <v>359</v>
      </c>
      <c r="B534" s="51" t="s">
        <v>617</v>
      </c>
      <c r="C534" s="49">
        <v>17.2</v>
      </c>
      <c r="D534" s="51" t="s">
        <v>105</v>
      </c>
      <c r="K534" s="35" t="s">
        <v>41</v>
      </c>
      <c r="S534" s="28"/>
      <c r="T534" s="29"/>
      <c r="W534" s="31"/>
      <c r="X534" s="35" t="s">
        <v>48</v>
      </c>
      <c r="Y534" s="35"/>
      <c r="AA534" s="29"/>
      <c r="AB534" s="29"/>
      <c r="AE534" s="31"/>
      <c r="AF534" s="35" t="s">
        <v>48</v>
      </c>
      <c r="AG534" s="47" t="str">
        <f t="shared" si="49"/>
        <v>|</v>
      </c>
      <c r="AI534" s="26" t="s">
        <v>685</v>
      </c>
    </row>
    <row r="535" spans="1:35" ht="24" customHeight="1">
      <c r="A535" s="50">
        <f t="shared" si="45"/>
        <v>360</v>
      </c>
      <c r="B535" s="51" t="s">
        <v>561</v>
      </c>
      <c r="C535" s="49">
        <v>24.5</v>
      </c>
      <c r="D535" s="51" t="s">
        <v>105</v>
      </c>
      <c r="H535" s="26" t="s">
        <v>309</v>
      </c>
      <c r="I535" s="40">
        <f>K533</f>
        <v>1616.0908681022879</v>
      </c>
      <c r="J535" s="26">
        <f>C22*0.015/0.743</f>
        <v>2.5409152086137281</v>
      </c>
      <c r="K535" s="39">
        <f>I535+J535</f>
        <v>1618.6317833109017</v>
      </c>
      <c r="N535" s="26" t="s">
        <v>689</v>
      </c>
      <c r="O535" s="27" t="s">
        <v>755</v>
      </c>
      <c r="S535" s="28"/>
      <c r="T535" s="29"/>
      <c r="U535" s="26" t="s">
        <v>403</v>
      </c>
      <c r="W535" s="31"/>
      <c r="X535" s="40">
        <f>(X533/0.743)</f>
        <v>1617.3309642792731</v>
      </c>
      <c r="Y535" s="40"/>
      <c r="AA535" s="29"/>
      <c r="AB535" s="29"/>
      <c r="AC535" s="26" t="s">
        <v>403</v>
      </c>
      <c r="AE535" s="31"/>
      <c r="AF535" s="40">
        <f>(AF533/0.743)</f>
        <v>1627.9203909279945</v>
      </c>
      <c r="AG535" s="47" t="str">
        <f t="shared" si="49"/>
        <v>|</v>
      </c>
      <c r="AI535" s="26" t="s">
        <v>685</v>
      </c>
    </row>
    <row r="536" spans="1:35" ht="24" customHeight="1">
      <c r="A536" s="50">
        <f t="shared" si="45"/>
        <v>361</v>
      </c>
      <c r="B536" s="51" t="s">
        <v>756</v>
      </c>
      <c r="C536" s="66"/>
      <c r="D536" s="51" t="s">
        <v>27</v>
      </c>
      <c r="H536" s="26" t="s">
        <v>313</v>
      </c>
      <c r="I536" s="40">
        <f>K535</f>
        <v>1618.6317833109017</v>
      </c>
      <c r="J536" s="26">
        <f>C23*0.015/0.743</f>
        <v>5.0026917900403767</v>
      </c>
      <c r="K536" s="39">
        <f>I536+J536</f>
        <v>1623.6344751009422</v>
      </c>
      <c r="O536" s="35" t="s">
        <v>48</v>
      </c>
      <c r="S536" s="28"/>
      <c r="T536" s="29"/>
      <c r="W536" s="31"/>
      <c r="X536" s="35" t="s">
        <v>41</v>
      </c>
      <c r="Y536" s="35"/>
      <c r="AA536" s="29"/>
      <c r="AB536" s="29"/>
      <c r="AE536" s="31"/>
      <c r="AF536" s="35" t="s">
        <v>41</v>
      </c>
      <c r="AG536" s="47" t="str">
        <f t="shared" si="49"/>
        <v>|</v>
      </c>
      <c r="AI536" s="26" t="s">
        <v>685</v>
      </c>
    </row>
    <row r="537" spans="1:35" ht="24" customHeight="1">
      <c r="A537" s="50">
        <f t="shared" si="45"/>
        <v>362</v>
      </c>
      <c r="B537" s="51" t="s">
        <v>620</v>
      </c>
      <c r="C537" s="49">
        <v>7.3</v>
      </c>
      <c r="D537" s="51" t="s">
        <v>105</v>
      </c>
      <c r="H537" s="26" t="s">
        <v>316</v>
      </c>
      <c r="I537" s="40">
        <f>K536</f>
        <v>1623.6344751009422</v>
      </c>
      <c r="J537" s="26">
        <f>J536</f>
        <v>5.0026917900403767</v>
      </c>
      <c r="K537" s="39">
        <f>I537+J537</f>
        <v>1628.6371668909826</v>
      </c>
      <c r="M537" s="40">
        <v>30</v>
      </c>
      <c r="N537" s="26" t="s">
        <v>244</v>
      </c>
      <c r="O537" s="26" t="s">
        <v>715</v>
      </c>
      <c r="P537" s="40">
        <f>(C42)</f>
        <v>5</v>
      </c>
      <c r="Q537" s="26" t="s">
        <v>244</v>
      </c>
      <c r="R537" s="40">
        <f>(M537*P537)</f>
        <v>150</v>
      </c>
      <c r="S537" s="28"/>
      <c r="T537" s="29"/>
      <c r="U537" s="26" t="s">
        <v>309</v>
      </c>
      <c r="V537" s="40">
        <f>X535</f>
        <v>1617.3309642792731</v>
      </c>
      <c r="W537" s="26">
        <f>J535</f>
        <v>2.5409152086137281</v>
      </c>
      <c r="X537" s="39">
        <f>V537+W537</f>
        <v>1619.8718794878869</v>
      </c>
      <c r="Y537" s="39"/>
      <c r="AA537" s="29"/>
      <c r="AB537" s="29"/>
      <c r="AC537" s="26" t="s">
        <v>309</v>
      </c>
      <c r="AD537" s="40">
        <f>AF535</f>
        <v>1627.9203909279945</v>
      </c>
      <c r="AE537" s="26">
        <f>W537</f>
        <v>2.5409152086137281</v>
      </c>
      <c r="AF537" s="39">
        <f>AD537+AE537</f>
        <v>1630.4613061366083</v>
      </c>
      <c r="AG537" s="47" t="str">
        <f t="shared" si="49"/>
        <v>|</v>
      </c>
      <c r="AI537" s="26" t="s">
        <v>685</v>
      </c>
    </row>
    <row r="538" spans="1:35" ht="24" customHeight="1">
      <c r="A538" s="50">
        <f t="shared" si="45"/>
        <v>363</v>
      </c>
      <c r="B538" s="51" t="s">
        <v>613</v>
      </c>
      <c r="C538" s="49">
        <v>8.5</v>
      </c>
      <c r="D538" s="51" t="s">
        <v>105</v>
      </c>
      <c r="H538" s="26" t="s">
        <v>318</v>
      </c>
      <c r="I538" s="40">
        <f>K537</f>
        <v>1628.6371668909826</v>
      </c>
      <c r="J538" s="26">
        <f>J537</f>
        <v>5.0026917900403767</v>
      </c>
      <c r="K538" s="39">
        <f>I538+J538</f>
        <v>1633.639858681023</v>
      </c>
      <c r="M538" s="26" t="s">
        <v>27</v>
      </c>
      <c r="O538" s="26" t="s">
        <v>718</v>
      </c>
      <c r="P538" s="26" t="s">
        <v>27</v>
      </c>
      <c r="R538" s="26" t="s">
        <v>27</v>
      </c>
      <c r="S538" s="28"/>
      <c r="T538" s="29"/>
      <c r="U538" s="26" t="s">
        <v>313</v>
      </c>
      <c r="V538" s="40">
        <f>X537</f>
        <v>1619.8718794878869</v>
      </c>
      <c r="W538" s="26">
        <f t="shared" ref="W538:W549" si="50">J538</f>
        <v>5.0026917900403767</v>
      </c>
      <c r="X538" s="39">
        <f>V538+W538</f>
        <v>1624.8745712779273</v>
      </c>
      <c r="Y538" s="39"/>
      <c r="AA538" s="29"/>
      <c r="AB538" s="29"/>
      <c r="AC538" s="26" t="s">
        <v>313</v>
      </c>
      <c r="AD538" s="40">
        <f>AF537</f>
        <v>1630.4613061366083</v>
      </c>
      <c r="AE538" s="26">
        <f t="shared" ref="AE538:AE549" si="51">W538</f>
        <v>5.0026917900403767</v>
      </c>
      <c r="AF538" s="39">
        <f>AD538+AE538</f>
        <v>1635.4639979266487</v>
      </c>
      <c r="AG538" s="47" t="str">
        <f t="shared" si="49"/>
        <v>|</v>
      </c>
      <c r="AI538" s="26" t="s">
        <v>685</v>
      </c>
    </row>
    <row r="539" spans="1:35" ht="24" customHeight="1">
      <c r="A539" s="50">
        <f t="shared" si="45"/>
        <v>364</v>
      </c>
      <c r="B539" s="51" t="s">
        <v>615</v>
      </c>
      <c r="C539" s="49">
        <v>12.2</v>
      </c>
      <c r="D539" s="51" t="s">
        <v>105</v>
      </c>
      <c r="H539" s="26" t="s">
        <v>313</v>
      </c>
      <c r="I539" s="40">
        <f>K538</f>
        <v>1633.639858681023</v>
      </c>
      <c r="J539" s="26">
        <f>J538</f>
        <v>5.0026917900403767</v>
      </c>
      <c r="K539" s="39">
        <f>I539+J539</f>
        <v>1638.6425504710635</v>
      </c>
      <c r="M539" s="40">
        <v>8</v>
      </c>
      <c r="N539" s="26" t="s">
        <v>105</v>
      </c>
      <c r="O539" s="26" t="s">
        <v>657</v>
      </c>
      <c r="P539" s="40">
        <f>(C45)</f>
        <v>8.5</v>
      </c>
      <c r="Q539" s="26" t="s">
        <v>105</v>
      </c>
      <c r="R539" s="40">
        <f>(M539*P539)</f>
        <v>68</v>
      </c>
      <c r="S539" s="28"/>
      <c r="T539" s="29"/>
      <c r="U539" s="26" t="s">
        <v>316</v>
      </c>
      <c r="V539" s="40">
        <f>X538</f>
        <v>1624.8745712779273</v>
      </c>
      <c r="W539" s="26">
        <f t="shared" si="50"/>
        <v>5.0026917900403767</v>
      </c>
      <c r="X539" s="39">
        <f>V539+W539</f>
        <v>1629.8772630679678</v>
      </c>
      <c r="Y539" s="39"/>
      <c r="AA539" s="29"/>
      <c r="AB539" s="29"/>
      <c r="AC539" s="26" t="s">
        <v>316</v>
      </c>
      <c r="AD539" s="40">
        <f>AF538</f>
        <v>1635.4639979266487</v>
      </c>
      <c r="AE539" s="26">
        <f t="shared" si="51"/>
        <v>5.0026917900403767</v>
      </c>
      <c r="AF539" s="39">
        <f>AD539+AE539</f>
        <v>1640.4666897166892</v>
      </c>
      <c r="AG539" s="47" t="str">
        <f t="shared" si="49"/>
        <v>|</v>
      </c>
      <c r="AI539" s="26" t="s">
        <v>685</v>
      </c>
    </row>
    <row r="540" spans="1:35" ht="24" hidden="1" customHeight="1">
      <c r="A540" s="50"/>
      <c r="B540" s="51"/>
      <c r="C540" s="49"/>
      <c r="D540" s="51"/>
      <c r="H540" s="26">
        <v>5</v>
      </c>
      <c r="I540" s="40">
        <f t="shared" ref="I540:I545" si="52">K539</f>
        <v>1638.6425504710635</v>
      </c>
      <c r="J540" s="26">
        <f t="shared" ref="J540:J547" si="53">J539</f>
        <v>5.0026917900403767</v>
      </c>
      <c r="K540" s="39">
        <f t="shared" ref="K540:K545" si="54">I540+J540</f>
        <v>1643.6452422611039</v>
      </c>
      <c r="M540" s="40"/>
      <c r="N540" s="26"/>
      <c r="O540" s="26"/>
      <c r="P540" s="40"/>
      <c r="Q540" s="26"/>
      <c r="R540" s="40"/>
      <c r="S540" s="28"/>
      <c r="T540" s="29"/>
      <c r="U540" s="26" t="s">
        <v>318</v>
      </c>
      <c r="V540" s="40">
        <f>X539</f>
        <v>1629.8772630679678</v>
      </c>
      <c r="W540" s="26">
        <f t="shared" si="50"/>
        <v>5.0026917900403767</v>
      </c>
      <c r="X540" s="39">
        <f>V540+W540</f>
        <v>1634.8799548580082</v>
      </c>
      <c r="Y540" s="39"/>
      <c r="AA540" s="29"/>
      <c r="AB540" s="29"/>
      <c r="AC540" s="26" t="s">
        <v>318</v>
      </c>
      <c r="AD540" s="40">
        <f>AF539</f>
        <v>1640.4666897166892</v>
      </c>
      <c r="AE540" s="26">
        <f t="shared" si="51"/>
        <v>5.0026917900403767</v>
      </c>
      <c r="AF540" s="39">
        <f>AD540+AE540</f>
        <v>1645.4693815067296</v>
      </c>
      <c r="AG540" s="47"/>
      <c r="AI540" s="26"/>
    </row>
    <row r="541" spans="1:35" ht="24" hidden="1" customHeight="1">
      <c r="A541" s="50"/>
      <c r="B541" s="51"/>
      <c r="C541" s="49"/>
      <c r="D541" s="51"/>
      <c r="H541" s="26">
        <v>6</v>
      </c>
      <c r="I541" s="40">
        <f t="shared" si="52"/>
        <v>1643.6452422611039</v>
      </c>
      <c r="J541" s="26">
        <f t="shared" si="53"/>
        <v>5.0026917900403767</v>
      </c>
      <c r="K541" s="39">
        <f t="shared" si="54"/>
        <v>1648.6479340511444</v>
      </c>
      <c r="M541" s="40"/>
      <c r="N541" s="26"/>
      <c r="O541" s="26"/>
      <c r="P541" s="40"/>
      <c r="Q541" s="26"/>
      <c r="R541" s="40"/>
      <c r="S541" s="28"/>
      <c r="T541" s="29"/>
      <c r="U541" s="26" t="s">
        <v>313</v>
      </c>
      <c r="V541" s="40">
        <f>X540</f>
        <v>1634.8799548580082</v>
      </c>
      <c r="W541" s="26">
        <f t="shared" si="50"/>
        <v>5.0026917900403767</v>
      </c>
      <c r="X541" s="39">
        <f>V541+W541</f>
        <v>1639.8826466480486</v>
      </c>
      <c r="Y541" s="39"/>
      <c r="AA541" s="29"/>
      <c r="AB541" s="29"/>
      <c r="AC541" s="26" t="s">
        <v>313</v>
      </c>
      <c r="AD541" s="40">
        <f>AF540</f>
        <v>1645.4693815067296</v>
      </c>
      <c r="AE541" s="26">
        <f t="shared" si="51"/>
        <v>5.0026917900403767</v>
      </c>
      <c r="AF541" s="39">
        <f>AD541+AE541</f>
        <v>1650.4720732967701</v>
      </c>
      <c r="AG541" s="47"/>
      <c r="AI541" s="26"/>
    </row>
    <row r="542" spans="1:35" ht="24" hidden="1" customHeight="1">
      <c r="A542" s="50"/>
      <c r="B542" s="51"/>
      <c r="C542" s="49"/>
      <c r="D542" s="51"/>
      <c r="H542" s="26">
        <v>7</v>
      </c>
      <c r="I542" s="40">
        <f t="shared" si="52"/>
        <v>1648.6479340511444</v>
      </c>
      <c r="J542" s="26">
        <f t="shared" si="53"/>
        <v>5.0026917900403767</v>
      </c>
      <c r="K542" s="39">
        <f t="shared" si="54"/>
        <v>1653.6506258411848</v>
      </c>
      <c r="M542" s="40"/>
      <c r="N542" s="26"/>
      <c r="O542" s="26"/>
      <c r="P542" s="40"/>
      <c r="Q542" s="26"/>
      <c r="R542" s="40"/>
      <c r="S542" s="28"/>
      <c r="T542" s="29"/>
      <c r="U542" s="26">
        <v>5</v>
      </c>
      <c r="V542" s="40">
        <f t="shared" ref="V542:V547" si="55">X541</f>
        <v>1639.8826466480486</v>
      </c>
      <c r="W542" s="26">
        <f t="shared" si="50"/>
        <v>5.0026917900403767</v>
      </c>
      <c r="X542" s="39">
        <f t="shared" ref="X542:X547" si="56">V542+W542</f>
        <v>1644.8853384380891</v>
      </c>
      <c r="Y542" s="39"/>
      <c r="AA542" s="29"/>
      <c r="AB542" s="29"/>
      <c r="AC542" s="26">
        <v>5</v>
      </c>
      <c r="AD542" s="40">
        <f t="shared" ref="AD542:AD547" si="57">AF541</f>
        <v>1650.4720732967701</v>
      </c>
      <c r="AE542" s="26">
        <f t="shared" si="51"/>
        <v>5.0026917900403767</v>
      </c>
      <c r="AF542" s="39">
        <f t="shared" ref="AF542:AF547" si="58">AD542+AE542</f>
        <v>1655.4747650868105</v>
      </c>
      <c r="AG542" s="47"/>
      <c r="AI542" s="26"/>
    </row>
    <row r="543" spans="1:35" ht="24" hidden="1" customHeight="1">
      <c r="A543" s="50"/>
      <c r="B543" s="51"/>
      <c r="C543" s="49"/>
      <c r="D543" s="51"/>
      <c r="H543" s="26">
        <v>8</v>
      </c>
      <c r="I543" s="40">
        <f t="shared" si="52"/>
        <v>1653.6506258411848</v>
      </c>
      <c r="J543" s="26">
        <f t="shared" si="53"/>
        <v>5.0026917900403767</v>
      </c>
      <c r="K543" s="39">
        <f t="shared" si="54"/>
        <v>1658.6533176312253</v>
      </c>
      <c r="M543" s="40"/>
      <c r="N543" s="26"/>
      <c r="O543" s="26"/>
      <c r="P543" s="40"/>
      <c r="Q543" s="26"/>
      <c r="R543" s="40"/>
      <c r="S543" s="28"/>
      <c r="T543" s="29"/>
      <c r="U543" s="26">
        <v>6</v>
      </c>
      <c r="V543" s="40">
        <f t="shared" si="55"/>
        <v>1644.8853384380891</v>
      </c>
      <c r="W543" s="26">
        <f t="shared" si="50"/>
        <v>5.0026917900403767</v>
      </c>
      <c r="X543" s="39">
        <f t="shared" si="56"/>
        <v>1649.8880302281295</v>
      </c>
      <c r="Y543" s="39"/>
      <c r="AA543" s="29"/>
      <c r="AB543" s="29"/>
      <c r="AC543" s="26">
        <v>6</v>
      </c>
      <c r="AD543" s="40">
        <f t="shared" si="57"/>
        <v>1655.4747650868105</v>
      </c>
      <c r="AE543" s="26">
        <f t="shared" si="51"/>
        <v>5.0026917900403767</v>
      </c>
      <c r="AF543" s="39">
        <f t="shared" si="58"/>
        <v>1660.477456876851</v>
      </c>
      <c r="AG543" s="47"/>
      <c r="AI543" s="26"/>
    </row>
    <row r="544" spans="1:35" ht="24" hidden="1" customHeight="1">
      <c r="A544" s="50"/>
      <c r="B544" s="51"/>
      <c r="C544" s="49"/>
      <c r="D544" s="51"/>
      <c r="H544" s="26">
        <v>9</v>
      </c>
      <c r="I544" s="40">
        <f t="shared" si="52"/>
        <v>1658.6533176312253</v>
      </c>
      <c r="J544" s="26">
        <f t="shared" si="53"/>
        <v>5.0026917900403767</v>
      </c>
      <c r="K544" s="39">
        <f t="shared" si="54"/>
        <v>1663.6560094212657</v>
      </c>
      <c r="M544" s="40"/>
      <c r="N544" s="26"/>
      <c r="O544" s="26"/>
      <c r="P544" s="40"/>
      <c r="Q544" s="26"/>
      <c r="R544" s="40"/>
      <c r="S544" s="28"/>
      <c r="T544" s="29"/>
      <c r="U544" s="26">
        <v>7</v>
      </c>
      <c r="V544" s="40">
        <f t="shared" si="55"/>
        <v>1649.8880302281295</v>
      </c>
      <c r="W544" s="26">
        <f t="shared" si="50"/>
        <v>5.0026917900403767</v>
      </c>
      <c r="X544" s="39">
        <f t="shared" si="56"/>
        <v>1654.89072201817</v>
      </c>
      <c r="Y544" s="39"/>
      <c r="AA544" s="29"/>
      <c r="AB544" s="29"/>
      <c r="AC544" s="26">
        <v>7</v>
      </c>
      <c r="AD544" s="40">
        <f t="shared" si="57"/>
        <v>1660.477456876851</v>
      </c>
      <c r="AE544" s="26">
        <f t="shared" si="51"/>
        <v>5.0026917900403767</v>
      </c>
      <c r="AF544" s="39">
        <f t="shared" si="58"/>
        <v>1665.4801486668914</v>
      </c>
      <c r="AG544" s="47"/>
      <c r="AI544" s="26"/>
    </row>
    <row r="545" spans="1:35" ht="24" hidden="1" customHeight="1">
      <c r="A545" s="50"/>
      <c r="B545" s="51"/>
      <c r="C545" s="49"/>
      <c r="D545" s="51"/>
      <c r="H545" s="26">
        <v>10</v>
      </c>
      <c r="I545" s="40">
        <f t="shared" si="52"/>
        <v>1663.6560094212657</v>
      </c>
      <c r="J545" s="26">
        <f t="shared" si="53"/>
        <v>5.0026917900403767</v>
      </c>
      <c r="K545" s="39">
        <f t="shared" si="54"/>
        <v>1668.6587012113062</v>
      </c>
      <c r="M545" s="40"/>
      <c r="N545" s="26"/>
      <c r="O545" s="26"/>
      <c r="P545" s="40"/>
      <c r="Q545" s="26"/>
      <c r="R545" s="40"/>
      <c r="S545" s="28"/>
      <c r="T545" s="29"/>
      <c r="U545" s="26">
        <v>8</v>
      </c>
      <c r="V545" s="40">
        <f t="shared" si="55"/>
        <v>1654.89072201817</v>
      </c>
      <c r="W545" s="26">
        <f t="shared" si="50"/>
        <v>5.0026917900403767</v>
      </c>
      <c r="X545" s="39">
        <f t="shared" si="56"/>
        <v>1659.8934138082104</v>
      </c>
      <c r="Y545" s="39"/>
      <c r="AA545" s="29"/>
      <c r="AB545" s="29"/>
      <c r="AC545" s="26">
        <v>8</v>
      </c>
      <c r="AD545" s="40">
        <f t="shared" si="57"/>
        <v>1665.4801486668914</v>
      </c>
      <c r="AE545" s="26">
        <f t="shared" si="51"/>
        <v>5.0026917900403767</v>
      </c>
      <c r="AF545" s="39">
        <f t="shared" si="58"/>
        <v>1670.4828404569319</v>
      </c>
      <c r="AG545" s="47"/>
      <c r="AI545" s="26"/>
    </row>
    <row r="546" spans="1:35" ht="24" hidden="1" customHeight="1">
      <c r="A546" s="50"/>
      <c r="B546" s="51"/>
      <c r="C546" s="49"/>
      <c r="D546" s="51"/>
      <c r="H546" s="26">
        <v>11</v>
      </c>
      <c r="I546" s="40">
        <f>K545</f>
        <v>1668.6587012113062</v>
      </c>
      <c r="J546" s="26">
        <f t="shared" si="53"/>
        <v>5.0026917900403767</v>
      </c>
      <c r="K546" s="39">
        <f>I546+J546</f>
        <v>1673.6613930013466</v>
      </c>
      <c r="M546" s="40"/>
      <c r="N546" s="26"/>
      <c r="O546" s="26"/>
      <c r="P546" s="40"/>
      <c r="Q546" s="26"/>
      <c r="R546" s="40"/>
      <c r="S546" s="28"/>
      <c r="T546" s="29"/>
      <c r="U546" s="26">
        <v>9</v>
      </c>
      <c r="V546" s="40">
        <f t="shared" si="55"/>
        <v>1659.8934138082104</v>
      </c>
      <c r="W546" s="26">
        <f t="shared" si="50"/>
        <v>5.0026917900403767</v>
      </c>
      <c r="X546" s="39">
        <f t="shared" si="56"/>
        <v>1664.8961055982509</v>
      </c>
      <c r="Y546" s="39"/>
      <c r="AA546" s="29"/>
      <c r="AB546" s="29"/>
      <c r="AC546" s="26">
        <v>9</v>
      </c>
      <c r="AD546" s="40">
        <f t="shared" si="57"/>
        <v>1670.4828404569319</v>
      </c>
      <c r="AE546" s="26">
        <f t="shared" si="51"/>
        <v>5.0026917900403767</v>
      </c>
      <c r="AF546" s="39">
        <f t="shared" si="58"/>
        <v>1675.4855322469723</v>
      </c>
      <c r="AG546" s="47"/>
      <c r="AI546" s="26"/>
    </row>
    <row r="547" spans="1:35" ht="24" hidden="1" customHeight="1">
      <c r="A547" s="50"/>
      <c r="B547" s="51"/>
      <c r="C547" s="49"/>
      <c r="D547" s="51"/>
      <c r="H547" s="26">
        <v>12</v>
      </c>
      <c r="I547" s="40">
        <f>K546</f>
        <v>1673.6613930013466</v>
      </c>
      <c r="J547" s="26">
        <f t="shared" si="53"/>
        <v>5.0026917900403767</v>
      </c>
      <c r="K547" s="39">
        <f>I547+J547</f>
        <v>1678.664084791387</v>
      </c>
      <c r="M547" s="40"/>
      <c r="N547" s="26"/>
      <c r="O547" s="26"/>
      <c r="P547" s="40"/>
      <c r="Q547" s="26"/>
      <c r="R547" s="40"/>
      <c r="S547" s="28"/>
      <c r="T547" s="29"/>
      <c r="U547" s="26">
        <v>10</v>
      </c>
      <c r="V547" s="40">
        <f t="shared" si="55"/>
        <v>1664.8961055982509</v>
      </c>
      <c r="W547" s="26">
        <f t="shared" si="50"/>
        <v>5.0026917900403767</v>
      </c>
      <c r="X547" s="39">
        <f t="shared" si="56"/>
        <v>1669.8987973882913</v>
      </c>
      <c r="Y547" s="39"/>
      <c r="AA547" s="29"/>
      <c r="AB547" s="29"/>
      <c r="AC547" s="26">
        <v>10</v>
      </c>
      <c r="AD547" s="40">
        <f t="shared" si="57"/>
        <v>1675.4855322469723</v>
      </c>
      <c r="AE547" s="26">
        <f t="shared" si="51"/>
        <v>5.0026917900403767</v>
      </c>
      <c r="AF547" s="39">
        <f t="shared" si="58"/>
        <v>1680.4882240370127</v>
      </c>
      <c r="AG547" s="47"/>
      <c r="AI547" s="26"/>
    </row>
    <row r="548" spans="1:35" ht="24" customHeight="1">
      <c r="A548" s="50">
        <f>(A539+1)</f>
        <v>365</v>
      </c>
      <c r="B548" s="51" t="s">
        <v>616</v>
      </c>
      <c r="C548" s="49">
        <v>14.7</v>
      </c>
      <c r="D548" s="51" t="s">
        <v>105</v>
      </c>
      <c r="F548" s="27" t="s">
        <v>757</v>
      </c>
      <c r="G548" s="38" t="s">
        <v>67</v>
      </c>
      <c r="H548" s="26" t="s">
        <v>758</v>
      </c>
      <c r="M548" s="40">
        <v>8</v>
      </c>
      <c r="N548" s="26" t="s">
        <v>105</v>
      </c>
      <c r="O548" s="26" t="s">
        <v>660</v>
      </c>
      <c r="P548" s="40">
        <f>(C52)</f>
        <v>21.1</v>
      </c>
      <c r="Q548" s="26" t="s">
        <v>105</v>
      </c>
      <c r="R548" s="40">
        <f>(M548*P548)</f>
        <v>168.8</v>
      </c>
      <c r="S548" s="28"/>
      <c r="T548" s="29"/>
      <c r="U548" s="26">
        <v>11</v>
      </c>
      <c r="V548" s="40">
        <f>X547</f>
        <v>1669.8987973882913</v>
      </c>
      <c r="W548" s="26">
        <f t="shared" si="50"/>
        <v>0</v>
      </c>
      <c r="X548" s="39">
        <f>V548+W548</f>
        <v>1669.8987973882913</v>
      </c>
      <c r="Y548" s="39"/>
      <c r="AA548" s="29"/>
      <c r="AB548" s="29"/>
      <c r="AC548" s="26">
        <v>11</v>
      </c>
      <c r="AD548" s="40">
        <f>AF547</f>
        <v>1680.4882240370127</v>
      </c>
      <c r="AE548" s="26">
        <f t="shared" si="51"/>
        <v>0</v>
      </c>
      <c r="AF548" s="39">
        <f>AD548+AE548</f>
        <v>1680.4882240370127</v>
      </c>
      <c r="AG548" s="47" t="str">
        <f t="shared" si="49"/>
        <v>|</v>
      </c>
      <c r="AI548" s="26" t="s">
        <v>685</v>
      </c>
    </row>
    <row r="549" spans="1:35" ht="45.75" customHeight="1">
      <c r="A549" s="50">
        <f t="shared" si="45"/>
        <v>366</v>
      </c>
      <c r="B549" s="51" t="s">
        <v>617</v>
      </c>
      <c r="C549" s="49">
        <v>24.5</v>
      </c>
      <c r="D549" s="51" t="s">
        <v>105</v>
      </c>
      <c r="H549" s="35" t="s">
        <v>48</v>
      </c>
      <c r="M549" s="40">
        <v>3</v>
      </c>
      <c r="N549" s="26" t="s">
        <v>105</v>
      </c>
      <c r="O549" s="26" t="s">
        <v>723</v>
      </c>
      <c r="P549" s="40">
        <f>(C41)</f>
        <v>796.59999999999991</v>
      </c>
      <c r="Q549" s="26" t="s">
        <v>105</v>
      </c>
      <c r="R549" s="40">
        <f>(M549*P549)</f>
        <v>2389.7999999999997</v>
      </c>
      <c r="S549" s="28"/>
      <c r="T549" s="29"/>
      <c r="U549" s="26">
        <v>12</v>
      </c>
      <c r="V549" s="40">
        <f>X548</f>
        <v>1669.8987973882913</v>
      </c>
      <c r="W549" s="26">
        <f t="shared" si="50"/>
        <v>0</v>
      </c>
      <c r="X549" s="39">
        <f>V549+W549</f>
        <v>1669.8987973882913</v>
      </c>
      <c r="Y549" s="39"/>
      <c r="AA549" s="29"/>
      <c r="AB549" s="29"/>
      <c r="AC549" s="26">
        <v>12</v>
      </c>
      <c r="AD549" s="40">
        <f>AF548</f>
        <v>1680.4882240370127</v>
      </c>
      <c r="AE549" s="26">
        <f t="shared" si="51"/>
        <v>0</v>
      </c>
      <c r="AF549" s="39">
        <f>AD549+AE549</f>
        <v>1680.4882240370127</v>
      </c>
      <c r="AG549" s="47" t="str">
        <f t="shared" si="49"/>
        <v>|</v>
      </c>
      <c r="AI549" s="26" t="s">
        <v>685</v>
      </c>
    </row>
    <row r="550" spans="1:35" ht="84.75" customHeight="1">
      <c r="A550" s="50">
        <f t="shared" si="45"/>
        <v>367</v>
      </c>
      <c r="B550" s="51" t="s">
        <v>561</v>
      </c>
      <c r="C550" s="49">
        <v>36.799999999999997</v>
      </c>
      <c r="D550" s="51" t="s">
        <v>105</v>
      </c>
      <c r="F550" s="40">
        <v>0.03</v>
      </c>
      <c r="G550" s="38" t="s">
        <v>93</v>
      </c>
      <c r="H550" s="26" t="s">
        <v>750</v>
      </c>
      <c r="I550" s="40">
        <f>(K513)</f>
        <v>9023.7009999999991</v>
      </c>
      <c r="J550" s="26" t="s">
        <v>93</v>
      </c>
      <c r="K550" s="40">
        <f>(F550*I550)</f>
        <v>270.71102999999994</v>
      </c>
      <c r="M550" s="40">
        <v>1</v>
      </c>
      <c r="N550" s="26" t="s">
        <v>105</v>
      </c>
      <c r="O550" s="26" t="s">
        <v>724</v>
      </c>
      <c r="P550" s="40">
        <f>(C10)</f>
        <v>1076.5999999999999</v>
      </c>
      <c r="Q550" s="26" t="s">
        <v>105</v>
      </c>
      <c r="R550" s="40">
        <f>(M550*P550)</f>
        <v>1076.5999999999999</v>
      </c>
      <c r="S550" s="27" t="s">
        <v>757</v>
      </c>
      <c r="T550" s="38" t="s">
        <v>67</v>
      </c>
      <c r="U550" s="88" t="s">
        <v>759</v>
      </c>
      <c r="W550" s="26"/>
      <c r="Z550" s="27" t="s">
        <v>757</v>
      </c>
      <c r="AA550" s="38" t="s">
        <v>67</v>
      </c>
      <c r="AB550" s="38"/>
      <c r="AC550" s="731" t="s">
        <v>759</v>
      </c>
      <c r="AD550" s="731"/>
      <c r="AE550" s="26"/>
      <c r="AG550" s="47" t="str">
        <f t="shared" si="49"/>
        <v>|</v>
      </c>
      <c r="AI550" s="26" t="s">
        <v>685</v>
      </c>
    </row>
    <row r="551" spans="1:35" ht="24" customHeight="1">
      <c r="A551" s="50">
        <f t="shared" si="45"/>
        <v>368</v>
      </c>
      <c r="B551" s="51" t="s">
        <v>760</v>
      </c>
      <c r="C551" s="66"/>
      <c r="D551" s="51" t="s">
        <v>27</v>
      </c>
      <c r="F551" s="40">
        <v>0.5</v>
      </c>
      <c r="G551" s="38" t="s">
        <v>196</v>
      </c>
      <c r="H551" s="26" t="s">
        <v>298</v>
      </c>
      <c r="I551" s="40">
        <f>(C10)</f>
        <v>1076.5999999999999</v>
      </c>
      <c r="J551" s="26" t="s">
        <v>196</v>
      </c>
      <c r="K551" s="40">
        <f>(F551*I551)</f>
        <v>538.29999999999995</v>
      </c>
      <c r="M551" s="40">
        <v>2</v>
      </c>
      <c r="N551" s="26" t="s">
        <v>105</v>
      </c>
      <c r="O551" s="26" t="s">
        <v>271</v>
      </c>
      <c r="P551" s="40">
        <f>(C12)</f>
        <v>702.8</v>
      </c>
      <c r="Q551" s="26" t="s">
        <v>105</v>
      </c>
      <c r="R551" s="40">
        <f>(M551*P551)</f>
        <v>1405.6</v>
      </c>
      <c r="S551" s="28"/>
      <c r="T551" s="29"/>
      <c r="U551" s="35" t="s">
        <v>48</v>
      </c>
      <c r="W551" s="31"/>
      <c r="AA551" s="29"/>
      <c r="AB551" s="29"/>
      <c r="AC551" s="35" t="s">
        <v>48</v>
      </c>
      <c r="AE551" s="31"/>
      <c r="AG551" s="47" t="str">
        <f t="shared" si="49"/>
        <v>|</v>
      </c>
      <c r="AI551" s="26" t="s">
        <v>685</v>
      </c>
    </row>
    <row r="552" spans="1:35" ht="24" customHeight="1">
      <c r="A552" s="50">
        <f t="shared" si="45"/>
        <v>369</v>
      </c>
      <c r="B552" s="51" t="s">
        <v>721</v>
      </c>
      <c r="C552" s="52">
        <v>4.75</v>
      </c>
      <c r="D552" s="51" t="s">
        <v>105</v>
      </c>
      <c r="F552" s="40">
        <v>0.75</v>
      </c>
      <c r="G552" s="38" t="s">
        <v>196</v>
      </c>
      <c r="H552" s="26" t="s">
        <v>271</v>
      </c>
      <c r="I552" s="40">
        <f>(C12)</f>
        <v>702.8</v>
      </c>
      <c r="J552" s="26" t="s">
        <v>196</v>
      </c>
      <c r="K552" s="40">
        <f>(F552*I552)</f>
        <v>527.09999999999991</v>
      </c>
      <c r="M552" s="40">
        <v>1</v>
      </c>
      <c r="N552" s="26" t="s">
        <v>105</v>
      </c>
      <c r="O552" s="26" t="s">
        <v>276</v>
      </c>
      <c r="P552" s="40">
        <f>(C13)</f>
        <v>576.79999999999995</v>
      </c>
      <c r="Q552" s="26" t="s">
        <v>105</v>
      </c>
      <c r="R552" s="40">
        <f>(M552*P552)</f>
        <v>576.79999999999995</v>
      </c>
      <c r="S552" s="40">
        <v>0.03</v>
      </c>
      <c r="T552" s="38" t="s">
        <v>93</v>
      </c>
      <c r="U552" s="26" t="s">
        <v>761</v>
      </c>
      <c r="V552" s="40">
        <f>V528</f>
        <v>9085.1270972999991</v>
      </c>
      <c r="W552" s="26" t="s">
        <v>93</v>
      </c>
      <c r="X552" s="40">
        <f>(S552*V552)</f>
        <v>272.55381291899994</v>
      </c>
      <c r="Y552" s="40"/>
      <c r="Z552" s="40">
        <v>0.03</v>
      </c>
      <c r="AA552" s="38" t="s">
        <v>93</v>
      </c>
      <c r="AB552" s="38"/>
      <c r="AC552" s="26" t="s">
        <v>761</v>
      </c>
      <c r="AD552" s="40">
        <f>AD528</f>
        <v>9609.656697299999</v>
      </c>
      <c r="AE552" s="26" t="s">
        <v>93</v>
      </c>
      <c r="AF552" s="40">
        <f>(Z552*AD552)</f>
        <v>288.28970091899998</v>
      </c>
      <c r="AG552" s="47" t="str">
        <f t="shared" si="49"/>
        <v>|</v>
      </c>
      <c r="AI552" s="26" t="s">
        <v>685</v>
      </c>
    </row>
    <row r="553" spans="1:35" ht="24" customHeight="1">
      <c r="A553" s="50">
        <f t="shared" si="45"/>
        <v>370</v>
      </c>
      <c r="B553" s="51" t="s">
        <v>713</v>
      </c>
      <c r="C553" s="52">
        <v>6.89</v>
      </c>
      <c r="D553" s="51" t="s">
        <v>105</v>
      </c>
      <c r="E553" s="127">
        <f>0.03/40*75</f>
        <v>5.6250000000000001E-2</v>
      </c>
      <c r="G553" s="38" t="s">
        <v>106</v>
      </c>
      <c r="H553" s="26" t="s">
        <v>107</v>
      </c>
      <c r="J553" s="26" t="s">
        <v>106</v>
      </c>
      <c r="K553" s="40">
        <v>0</v>
      </c>
      <c r="N553" s="26" t="s">
        <v>106</v>
      </c>
      <c r="O553" s="26" t="s">
        <v>726</v>
      </c>
      <c r="P553" s="26" t="s">
        <v>27</v>
      </c>
      <c r="Q553" s="26" t="s">
        <v>106</v>
      </c>
      <c r="R553" s="40">
        <f>(C56)</f>
        <v>12.1</v>
      </c>
      <c r="S553" s="40">
        <v>0.5</v>
      </c>
      <c r="T553" s="38" t="s">
        <v>196</v>
      </c>
      <c r="U553" s="26" t="s">
        <v>298</v>
      </c>
      <c r="V553" s="40">
        <f>V529</f>
        <v>1076.5999999999999</v>
      </c>
      <c r="W553" s="26" t="s">
        <v>196</v>
      </c>
      <c r="X553" s="40">
        <f>(S553*V553)</f>
        <v>538.29999999999995</v>
      </c>
      <c r="Y553" s="40"/>
      <c r="Z553" s="40">
        <v>0.5</v>
      </c>
      <c r="AA553" s="38" t="s">
        <v>196</v>
      </c>
      <c r="AB553" s="38"/>
      <c r="AC553" s="26" t="s">
        <v>298</v>
      </c>
      <c r="AD553" s="40">
        <f>AD529</f>
        <v>1076.5999999999999</v>
      </c>
      <c r="AE553" s="26" t="s">
        <v>196</v>
      </c>
      <c r="AF553" s="40">
        <f>(Z553*AD553)</f>
        <v>538.29999999999995</v>
      </c>
      <c r="AG553" s="47" t="str">
        <f t="shared" si="49"/>
        <v>|</v>
      </c>
      <c r="AI553" s="26" t="s">
        <v>685</v>
      </c>
    </row>
    <row r="554" spans="1:35" ht="24" customHeight="1">
      <c r="A554" s="50">
        <f t="shared" si="45"/>
        <v>371</v>
      </c>
      <c r="B554" s="51" t="s">
        <v>725</v>
      </c>
      <c r="C554" s="52">
        <v>6.18</v>
      </c>
      <c r="D554" s="51" t="s">
        <v>105</v>
      </c>
      <c r="K554" s="35" t="s">
        <v>48</v>
      </c>
      <c r="O554" s="26" t="s">
        <v>728</v>
      </c>
      <c r="P554" s="26" t="s">
        <v>27</v>
      </c>
      <c r="R554" s="26" t="s">
        <v>27</v>
      </c>
      <c r="S554" s="40">
        <v>0.75</v>
      </c>
      <c r="T554" s="38" t="s">
        <v>196</v>
      </c>
      <c r="U554" s="26" t="s">
        <v>271</v>
      </c>
      <c r="V554" s="40">
        <f>V530</f>
        <v>702.8</v>
      </c>
      <c r="W554" s="26" t="s">
        <v>196</v>
      </c>
      <c r="X554" s="40">
        <f>(S554*V554)</f>
        <v>527.09999999999991</v>
      </c>
      <c r="Y554" s="40"/>
      <c r="Z554" s="40">
        <v>0.75</v>
      </c>
      <c r="AA554" s="38" t="s">
        <v>196</v>
      </c>
      <c r="AB554" s="38"/>
      <c r="AC554" s="26" t="s">
        <v>271</v>
      </c>
      <c r="AD554" s="40">
        <f>AD530</f>
        <v>702.8</v>
      </c>
      <c r="AE554" s="26" t="s">
        <v>196</v>
      </c>
      <c r="AF554" s="40">
        <f>(Z554*AD554)</f>
        <v>527.09999999999991</v>
      </c>
      <c r="AG554" s="47" t="str">
        <f t="shared" si="49"/>
        <v>|</v>
      </c>
      <c r="AI554" s="26" t="s">
        <v>685</v>
      </c>
    </row>
    <row r="555" spans="1:35" ht="24" customHeight="1">
      <c r="A555" s="50">
        <f t="shared" si="45"/>
        <v>372</v>
      </c>
      <c r="B555" s="51" t="s">
        <v>762</v>
      </c>
      <c r="C555" s="52">
        <v>13.29</v>
      </c>
      <c r="D555" s="51" t="s">
        <v>105</v>
      </c>
      <c r="H555" s="26" t="s">
        <v>754</v>
      </c>
      <c r="K555" s="40">
        <f>SUM(K550:K553)</f>
        <v>1336.1110299999998</v>
      </c>
      <c r="N555" s="26" t="s">
        <v>106</v>
      </c>
      <c r="O555" s="26" t="s">
        <v>107</v>
      </c>
      <c r="Q555" s="26" t="s">
        <v>106</v>
      </c>
      <c r="R555" s="40">
        <v>0</v>
      </c>
      <c r="S555" s="28"/>
      <c r="T555" s="38" t="s">
        <v>106</v>
      </c>
      <c r="U555" s="26" t="s">
        <v>107</v>
      </c>
      <c r="V555" s="40">
        <f>V531</f>
        <v>0</v>
      </c>
      <c r="W555" s="26" t="s">
        <v>106</v>
      </c>
      <c r="X555" s="40">
        <v>0</v>
      </c>
      <c r="Y555" s="40"/>
      <c r="AA555" s="38" t="s">
        <v>106</v>
      </c>
      <c r="AB555" s="38"/>
      <c r="AC555" s="26" t="s">
        <v>107</v>
      </c>
      <c r="AD555" s="40">
        <f>AD531</f>
        <v>0</v>
      </c>
      <c r="AE555" s="26" t="s">
        <v>106</v>
      </c>
      <c r="AF555" s="40">
        <v>0</v>
      </c>
      <c r="AG555" s="47" t="str">
        <f t="shared" si="49"/>
        <v>|</v>
      </c>
      <c r="AI555" s="26" t="s">
        <v>685</v>
      </c>
    </row>
    <row r="556" spans="1:35" ht="24" customHeight="1">
      <c r="A556" s="50">
        <f t="shared" si="45"/>
        <v>373</v>
      </c>
      <c r="B556" s="51" t="s">
        <v>763</v>
      </c>
      <c r="C556" s="52">
        <v>14.11</v>
      </c>
      <c r="D556" s="51" t="s">
        <v>105</v>
      </c>
      <c r="K556" s="35" t="s">
        <v>48</v>
      </c>
      <c r="R556" s="35" t="s">
        <v>48</v>
      </c>
      <c r="S556" s="28"/>
      <c r="T556" s="29"/>
      <c r="W556" s="31"/>
      <c r="X556" s="35" t="s">
        <v>48</v>
      </c>
      <c r="Y556" s="35"/>
      <c r="AA556" s="29"/>
      <c r="AB556" s="29"/>
      <c r="AE556" s="31"/>
      <c r="AF556" s="35" t="s">
        <v>48</v>
      </c>
      <c r="AG556" s="47" t="str">
        <f t="shared" si="49"/>
        <v>|</v>
      </c>
      <c r="AI556" s="26" t="s">
        <v>685</v>
      </c>
    </row>
    <row r="557" spans="1:35" ht="24" customHeight="1">
      <c r="A557" s="50">
        <f t="shared" si="45"/>
        <v>374</v>
      </c>
      <c r="B557" s="51" t="s">
        <v>764</v>
      </c>
      <c r="C557" s="52">
        <v>14.69</v>
      </c>
      <c r="D557" s="51" t="s">
        <v>105</v>
      </c>
      <c r="H557" s="26" t="s">
        <v>403</v>
      </c>
      <c r="K557" s="40">
        <f>(K555/0.743)</f>
        <v>1798.2651816958276</v>
      </c>
      <c r="O557" s="26" t="s">
        <v>729</v>
      </c>
      <c r="R557" s="40">
        <f>SUM(R537:R555)</f>
        <v>5847.7</v>
      </c>
      <c r="S557" s="28"/>
      <c r="T557" s="29"/>
      <c r="U557" s="26" t="s">
        <v>754</v>
      </c>
      <c r="W557" s="31"/>
      <c r="X557" s="40">
        <f>SUM(X552:X555)</f>
        <v>1337.9538129189998</v>
      </c>
      <c r="Y557" s="40"/>
      <c r="AA557" s="29"/>
      <c r="AB557" s="29"/>
      <c r="AC557" s="26" t="s">
        <v>754</v>
      </c>
      <c r="AE557" s="31"/>
      <c r="AF557" s="40">
        <f>SUM(AF552:AF555)</f>
        <v>1353.6897009189997</v>
      </c>
      <c r="AG557" s="47" t="str">
        <f t="shared" si="49"/>
        <v>|</v>
      </c>
      <c r="AI557" s="26" t="s">
        <v>685</v>
      </c>
    </row>
    <row r="558" spans="1:35" ht="24" customHeight="1">
      <c r="A558" s="50">
        <f t="shared" si="45"/>
        <v>375</v>
      </c>
      <c r="B558" s="51" t="s">
        <v>765</v>
      </c>
      <c r="C558" s="66"/>
      <c r="D558" s="51" t="s">
        <v>27</v>
      </c>
      <c r="K558" s="35" t="s">
        <v>41</v>
      </c>
      <c r="R558" s="35" t="s">
        <v>48</v>
      </c>
      <c r="S558" s="28"/>
      <c r="T558" s="29"/>
      <c r="W558" s="31"/>
      <c r="X558" s="35" t="s">
        <v>48</v>
      </c>
      <c r="Y558" s="35"/>
      <c r="AA558" s="29"/>
      <c r="AB558" s="29"/>
      <c r="AE558" s="31"/>
      <c r="AF558" s="35" t="s">
        <v>48</v>
      </c>
      <c r="AG558" s="47" t="str">
        <f t="shared" si="49"/>
        <v>|</v>
      </c>
      <c r="AI558" s="26" t="s">
        <v>685</v>
      </c>
    </row>
    <row r="559" spans="1:35" ht="24" customHeight="1">
      <c r="A559" s="50">
        <f t="shared" si="45"/>
        <v>376</v>
      </c>
      <c r="B559" s="51" t="s">
        <v>721</v>
      </c>
      <c r="C559" s="52">
        <v>7.3</v>
      </c>
      <c r="D559" s="51" t="s">
        <v>105</v>
      </c>
      <c r="H559" s="26" t="s">
        <v>309</v>
      </c>
      <c r="I559" s="40">
        <f>K557</f>
        <v>1798.2651816958276</v>
      </c>
      <c r="J559" s="26">
        <f>C22*0.03/0.743</f>
        <v>5.0818304172274562</v>
      </c>
      <c r="K559" s="39">
        <f>I559+J559</f>
        <v>1803.3470121130549</v>
      </c>
      <c r="M559" s="28">
        <f>0.47*38.5</f>
        <v>18.094999999999999</v>
      </c>
      <c r="O559" s="26" t="s">
        <v>665</v>
      </c>
      <c r="R559" s="40">
        <f>(R557/30)</f>
        <v>194.92333333333332</v>
      </c>
      <c r="S559" s="28"/>
      <c r="T559" s="29"/>
      <c r="U559" s="26" t="s">
        <v>766</v>
      </c>
      <c r="W559" s="31"/>
      <c r="X559" s="39">
        <f>(X557/0.743)</f>
        <v>1800.7453740497979</v>
      </c>
      <c r="Y559" s="39"/>
      <c r="AA559" s="29"/>
      <c r="AB559" s="29"/>
      <c r="AC559" s="26" t="s">
        <v>766</v>
      </c>
      <c r="AE559" s="31"/>
      <c r="AF559" s="39">
        <f>(AF557/0.743)</f>
        <v>1821.9242273472405</v>
      </c>
      <c r="AG559" s="47" t="str">
        <f t="shared" si="49"/>
        <v>|</v>
      </c>
      <c r="AI559" s="26" t="s">
        <v>685</v>
      </c>
    </row>
    <row r="560" spans="1:35" ht="24" customHeight="1">
      <c r="A560" s="50">
        <f t="shared" si="45"/>
        <v>377</v>
      </c>
      <c r="B560" s="51" t="s">
        <v>713</v>
      </c>
      <c r="C560" s="52">
        <v>19.05</v>
      </c>
      <c r="D560" s="51" t="s">
        <v>105</v>
      </c>
      <c r="H560" s="26" t="s">
        <v>313</v>
      </c>
      <c r="I560" s="40">
        <f>K559</f>
        <v>1803.3470121130549</v>
      </c>
      <c r="J560" s="26">
        <f>C23*0.03/0.743</f>
        <v>10.005383580080753</v>
      </c>
      <c r="K560" s="39">
        <f>I560+J560</f>
        <v>1813.3523956931356</v>
      </c>
      <c r="M560" s="28">
        <f>0.24*546</f>
        <v>131.04</v>
      </c>
      <c r="R560" s="35" t="s">
        <v>48</v>
      </c>
      <c r="S560" s="28"/>
      <c r="T560" s="29"/>
      <c r="W560" s="31"/>
      <c r="X560" s="35" t="s">
        <v>41</v>
      </c>
      <c r="Y560" s="35"/>
      <c r="AA560" s="29"/>
      <c r="AB560" s="29"/>
      <c r="AE560" s="31"/>
      <c r="AF560" s="35" t="s">
        <v>41</v>
      </c>
      <c r="AG560" s="47" t="str">
        <f t="shared" si="49"/>
        <v>|</v>
      </c>
      <c r="AI560" s="26" t="s">
        <v>685</v>
      </c>
    </row>
    <row r="561" spans="1:35" ht="24" customHeight="1">
      <c r="A561" s="50">
        <f t="shared" si="45"/>
        <v>378</v>
      </c>
      <c r="B561" s="51" t="s">
        <v>725</v>
      </c>
      <c r="C561" s="52">
        <v>8.5</v>
      </c>
      <c r="D561" s="51" t="s">
        <v>105</v>
      </c>
      <c r="H561" s="26" t="s">
        <v>316</v>
      </c>
      <c r="I561" s="40">
        <f>K560</f>
        <v>1813.3523956931356</v>
      </c>
      <c r="J561" s="26">
        <f>J560</f>
        <v>10.005383580080753</v>
      </c>
      <c r="K561" s="39">
        <f>I561+J561</f>
        <v>1823.3577792732162</v>
      </c>
      <c r="M561" s="28">
        <f>0.24*143.6</f>
        <v>34.463999999999999</v>
      </c>
      <c r="N561" s="26" t="s">
        <v>67</v>
      </c>
      <c r="O561" s="26" t="s">
        <v>641</v>
      </c>
      <c r="S561" s="28"/>
      <c r="T561" s="29"/>
      <c r="U561" s="26" t="s">
        <v>309</v>
      </c>
      <c r="V561" s="40">
        <f>X559</f>
        <v>1800.7453740497979</v>
      </c>
      <c r="W561" s="26">
        <f>J559</f>
        <v>5.0818304172274562</v>
      </c>
      <c r="X561" s="39">
        <f>V561+W561</f>
        <v>1805.8272044670252</v>
      </c>
      <c r="Y561" s="39"/>
      <c r="AA561" s="29"/>
      <c r="AB561" s="29"/>
      <c r="AC561" s="26" t="s">
        <v>309</v>
      </c>
      <c r="AD561" s="40">
        <f>AF559</f>
        <v>1821.9242273472405</v>
      </c>
      <c r="AE561" s="26">
        <f t="shared" ref="AE561:AE566" si="59">W561</f>
        <v>5.0818304172274562</v>
      </c>
      <c r="AF561" s="39">
        <f t="shared" ref="AF561:AF566" si="60">AD561+AE561</f>
        <v>1827.0060577644679</v>
      </c>
      <c r="AG561" s="47" t="str">
        <f t="shared" si="49"/>
        <v>|</v>
      </c>
      <c r="AI561" s="26" t="s">
        <v>685</v>
      </c>
    </row>
    <row r="562" spans="1:35" ht="24" customHeight="1">
      <c r="A562" s="50">
        <f t="shared" si="45"/>
        <v>379</v>
      </c>
      <c r="B562" s="51" t="s">
        <v>767</v>
      </c>
      <c r="C562" s="52">
        <v>12.2</v>
      </c>
      <c r="D562" s="51" t="s">
        <v>105</v>
      </c>
      <c r="H562" s="26" t="s">
        <v>318</v>
      </c>
      <c r="I562" s="40">
        <f>K561</f>
        <v>1823.3577792732162</v>
      </c>
      <c r="J562" s="26">
        <f>J561</f>
        <v>10.005383580080753</v>
      </c>
      <c r="K562" s="39">
        <f>I562+J562</f>
        <v>1833.3631628532969</v>
      </c>
      <c r="M562" s="28">
        <f>0.79*328.9</f>
        <v>259.83100000000002</v>
      </c>
      <c r="O562" s="26" t="s">
        <v>768</v>
      </c>
      <c r="S562" s="28"/>
      <c r="T562" s="29"/>
      <c r="U562" s="26" t="s">
        <v>313</v>
      </c>
      <c r="V562" s="40">
        <f>X561</f>
        <v>1805.8272044670252</v>
      </c>
      <c r="W562" s="26">
        <f>J560</f>
        <v>10.005383580080753</v>
      </c>
      <c r="X562" s="39">
        <f>V562+W562</f>
        <v>1815.8325880471059</v>
      </c>
      <c r="Y562" s="39"/>
      <c r="AA562" s="29"/>
      <c r="AB562" s="29"/>
      <c r="AC562" s="26" t="s">
        <v>313</v>
      </c>
      <c r="AD562" s="40">
        <f>AF561</f>
        <v>1827.0060577644679</v>
      </c>
      <c r="AE562" s="26">
        <f t="shared" si="59"/>
        <v>10.005383580080753</v>
      </c>
      <c r="AF562" s="39">
        <f t="shared" si="60"/>
        <v>1837.0114413445485</v>
      </c>
      <c r="AG562" s="47" t="str">
        <f t="shared" si="49"/>
        <v>|</v>
      </c>
      <c r="AI562" s="26" t="s">
        <v>685</v>
      </c>
    </row>
    <row r="563" spans="1:35" ht="24" customHeight="1">
      <c r="A563" s="66"/>
      <c r="B563" s="66"/>
      <c r="C563" s="66"/>
      <c r="D563" s="66"/>
      <c r="F563" s="26" t="s">
        <v>27</v>
      </c>
      <c r="H563" s="26" t="s">
        <v>313</v>
      </c>
      <c r="I563" s="40">
        <f>K562</f>
        <v>1833.3631628532969</v>
      </c>
      <c r="J563" s="26">
        <f>J562</f>
        <v>10.005383580080753</v>
      </c>
      <c r="K563" s="39">
        <f>I563+J563</f>
        <v>1843.3685464333776</v>
      </c>
      <c r="M563" s="28">
        <f>SUM(M559:M562)</f>
        <v>443.43</v>
      </c>
      <c r="S563" s="28"/>
      <c r="T563" s="29"/>
      <c r="U563" s="26" t="s">
        <v>316</v>
      </c>
      <c r="V563" s="40">
        <f>X562</f>
        <v>1815.8325880471059</v>
      </c>
      <c r="W563" s="26">
        <f>J561</f>
        <v>10.005383580080753</v>
      </c>
      <c r="X563" s="39">
        <f>V563+W563</f>
        <v>1825.8379716271866</v>
      </c>
      <c r="Y563" s="39"/>
      <c r="AA563" s="29"/>
      <c r="AB563" s="29"/>
      <c r="AC563" s="26" t="s">
        <v>316</v>
      </c>
      <c r="AD563" s="40">
        <f>AF562</f>
        <v>1837.0114413445485</v>
      </c>
      <c r="AE563" s="26">
        <f t="shared" si="59"/>
        <v>10.005383580080753</v>
      </c>
      <c r="AF563" s="39">
        <f t="shared" si="60"/>
        <v>1847.0168249246292</v>
      </c>
      <c r="AG563" s="47" t="str">
        <f t="shared" si="49"/>
        <v>|</v>
      </c>
      <c r="AI563" s="26" t="s">
        <v>685</v>
      </c>
    </row>
    <row r="564" spans="1:35" ht="15.75">
      <c r="A564" s="50">
        <f>(A562+1)</f>
        <v>380</v>
      </c>
      <c r="B564" s="51" t="s">
        <v>763</v>
      </c>
      <c r="C564" s="52">
        <v>38.35</v>
      </c>
      <c r="D564" s="51" t="s">
        <v>105</v>
      </c>
      <c r="H564" s="26">
        <v>5</v>
      </c>
      <c r="I564" s="40">
        <f t="shared" ref="I564:I569" si="61">K563</f>
        <v>1843.3685464333776</v>
      </c>
      <c r="J564" s="26">
        <f t="shared" ref="J564:J571" si="62">J563</f>
        <v>10.005383580080753</v>
      </c>
      <c r="K564" s="39">
        <f t="shared" ref="K564:K569" si="63">I564+J564</f>
        <v>1853.3739300134582</v>
      </c>
      <c r="O564" s="26" t="s">
        <v>643</v>
      </c>
      <c r="S564" s="28"/>
      <c r="T564" s="29"/>
      <c r="U564" s="26" t="s">
        <v>318</v>
      </c>
      <c r="V564" s="40">
        <f>X563</f>
        <v>1825.8379716271866</v>
      </c>
      <c r="W564" s="26">
        <f>J562</f>
        <v>10.005383580080753</v>
      </c>
      <c r="X564" s="39">
        <f>V564+W564</f>
        <v>1835.8433552072672</v>
      </c>
      <c r="Y564" s="39"/>
      <c r="AA564" s="29"/>
      <c r="AB564" s="29"/>
      <c r="AC564" s="26" t="s">
        <v>318</v>
      </c>
      <c r="AD564" s="40">
        <f>AF563</f>
        <v>1847.0168249246292</v>
      </c>
      <c r="AE564" s="26">
        <f t="shared" si="59"/>
        <v>10.005383580080753</v>
      </c>
      <c r="AF564" s="39">
        <f t="shared" si="60"/>
        <v>1857.0222085047099</v>
      </c>
      <c r="AG564" s="47" t="str">
        <f t="shared" si="49"/>
        <v>|</v>
      </c>
      <c r="AI564" s="26" t="s">
        <v>685</v>
      </c>
    </row>
    <row r="565" spans="1:35" ht="15.75">
      <c r="A565" s="50"/>
      <c r="B565" s="51"/>
      <c r="C565" s="52"/>
      <c r="D565" s="51"/>
      <c r="H565" s="26">
        <v>6</v>
      </c>
      <c r="I565" s="40">
        <f t="shared" si="61"/>
        <v>1853.3739300134582</v>
      </c>
      <c r="J565" s="26">
        <f t="shared" si="62"/>
        <v>10.005383580080753</v>
      </c>
      <c r="K565" s="39">
        <f t="shared" si="63"/>
        <v>1863.3793135935389</v>
      </c>
      <c r="O565" s="26"/>
      <c r="S565" s="26" t="s">
        <v>27</v>
      </c>
      <c r="T565" s="29"/>
      <c r="U565" s="26" t="s">
        <v>769</v>
      </c>
      <c r="V565" s="40">
        <f>X564</f>
        <v>1835.8433552072672</v>
      </c>
      <c r="W565" s="26">
        <f>J563</f>
        <v>10.005383580080753</v>
      </c>
      <c r="X565" s="39">
        <f>V565+W565</f>
        <v>1845.8487387873479</v>
      </c>
      <c r="Y565" s="39"/>
      <c r="AC565" s="26" t="s">
        <v>313</v>
      </c>
      <c r="AD565" s="40">
        <f>AF564</f>
        <v>1857.0222085047099</v>
      </c>
      <c r="AE565" s="26">
        <f t="shared" si="59"/>
        <v>10.005383580080753</v>
      </c>
      <c r="AF565" s="39">
        <f t="shared" si="60"/>
        <v>1867.0275920847905</v>
      </c>
      <c r="AG565" s="47"/>
      <c r="AI565" s="26"/>
    </row>
    <row r="566" spans="1:35" ht="15.75">
      <c r="A566" s="50"/>
      <c r="B566" s="51"/>
      <c r="C566" s="52"/>
      <c r="D566" s="51"/>
      <c r="H566" s="26">
        <v>7</v>
      </c>
      <c r="I566" s="40">
        <f t="shared" si="61"/>
        <v>1863.3793135935389</v>
      </c>
      <c r="J566" s="26">
        <f t="shared" si="62"/>
        <v>10.005383580080753</v>
      </c>
      <c r="K566" s="39">
        <f t="shared" si="63"/>
        <v>1873.3846971736195</v>
      </c>
      <c r="O566" s="26"/>
      <c r="AC566" s="26" t="s">
        <v>316</v>
      </c>
      <c r="AD566" s="40">
        <f>AF565</f>
        <v>1867.0275920847905</v>
      </c>
      <c r="AE566" s="26">
        <f t="shared" si="59"/>
        <v>0</v>
      </c>
      <c r="AF566" s="39">
        <f t="shared" si="60"/>
        <v>1867.0275920847905</v>
      </c>
      <c r="AG566" s="47"/>
      <c r="AI566" s="26"/>
    </row>
    <row r="567" spans="1:35" ht="15.75">
      <c r="A567" s="50"/>
      <c r="B567" s="51"/>
      <c r="C567" s="52"/>
      <c r="D567" s="51"/>
      <c r="H567" s="26">
        <v>8</v>
      </c>
      <c r="I567" s="40">
        <f t="shared" si="61"/>
        <v>1873.3846971736195</v>
      </c>
      <c r="J567" s="26">
        <f t="shared" si="62"/>
        <v>10.005383580080753</v>
      </c>
      <c r="K567" s="39">
        <f t="shared" si="63"/>
        <v>1883.3900807537002</v>
      </c>
      <c r="O567" s="26"/>
      <c r="AG567" s="47"/>
      <c r="AI567" s="26"/>
    </row>
    <row r="568" spans="1:35" ht="15.75">
      <c r="A568" s="50"/>
      <c r="B568" s="51"/>
      <c r="C568" s="52"/>
      <c r="D568" s="51"/>
      <c r="H568" s="26">
        <v>9</v>
      </c>
      <c r="I568" s="40">
        <f t="shared" si="61"/>
        <v>1883.3900807537002</v>
      </c>
      <c r="J568" s="26">
        <f t="shared" si="62"/>
        <v>10.005383580080753</v>
      </c>
      <c r="K568" s="39">
        <f t="shared" si="63"/>
        <v>1893.3954643337809</v>
      </c>
      <c r="O568" s="26"/>
      <c r="AG568" s="47"/>
      <c r="AI568" s="26"/>
    </row>
    <row r="569" spans="1:35" ht="15.75">
      <c r="A569" s="50"/>
      <c r="B569" s="51"/>
      <c r="C569" s="52"/>
      <c r="D569" s="51"/>
      <c r="H569" s="26">
        <v>10</v>
      </c>
      <c r="I569" s="40">
        <f t="shared" si="61"/>
        <v>1893.3954643337809</v>
      </c>
      <c r="J569" s="26">
        <f t="shared" si="62"/>
        <v>10.005383580080753</v>
      </c>
      <c r="K569" s="39">
        <f t="shared" si="63"/>
        <v>1903.4008479138615</v>
      </c>
      <c r="O569" s="26"/>
      <c r="AG569" s="47"/>
      <c r="AI569" s="26"/>
    </row>
    <row r="570" spans="1:35" ht="15.75">
      <c r="A570" s="50"/>
      <c r="B570" s="51"/>
      <c r="C570" s="52"/>
      <c r="D570" s="51"/>
      <c r="H570" s="26">
        <v>11</v>
      </c>
      <c r="I570" s="40">
        <f>K569</f>
        <v>1903.4008479138615</v>
      </c>
      <c r="J570" s="26">
        <f t="shared" si="62"/>
        <v>10.005383580080753</v>
      </c>
      <c r="K570" s="39">
        <f>I570+J570</f>
        <v>1913.4062314939422</v>
      </c>
      <c r="O570" s="26"/>
      <c r="AG570" s="47"/>
      <c r="AI570" s="26"/>
    </row>
    <row r="571" spans="1:35" ht="15.75">
      <c r="A571" s="50"/>
      <c r="B571" s="51"/>
      <c r="C571" s="52"/>
      <c r="D571" s="51"/>
      <c r="H571" s="26">
        <v>12</v>
      </c>
      <c r="I571" s="40">
        <f>K570</f>
        <v>1913.4062314939422</v>
      </c>
      <c r="J571" s="26">
        <f t="shared" si="62"/>
        <v>10.005383580080753</v>
      </c>
      <c r="K571" s="39">
        <f>I571+J571</f>
        <v>1923.4116150740228</v>
      </c>
      <c r="O571" s="26"/>
      <c r="AG571" s="47"/>
      <c r="AI571" s="26"/>
    </row>
    <row r="572" spans="1:35" ht="15.75">
      <c r="A572" s="50">
        <f>(A564+1)</f>
        <v>381</v>
      </c>
      <c r="B572" s="51" t="s">
        <v>764</v>
      </c>
      <c r="C572" s="52">
        <v>14.7</v>
      </c>
      <c r="D572" s="51" t="s">
        <v>105</v>
      </c>
      <c r="F572" s="77"/>
      <c r="G572" s="38" t="s">
        <v>27</v>
      </c>
      <c r="H572" s="26" t="s">
        <v>770</v>
      </c>
      <c r="O572" s="35" t="s">
        <v>48</v>
      </c>
      <c r="S572" s="83"/>
      <c r="T572" s="38" t="s">
        <v>27</v>
      </c>
      <c r="U572" s="26" t="s">
        <v>770</v>
      </c>
      <c r="W572" s="31"/>
      <c r="AC572" s="26" t="s">
        <v>318</v>
      </c>
      <c r="AD572" s="40">
        <f>AF571</f>
        <v>0</v>
      </c>
      <c r="AE572" s="26">
        <f>W572</f>
        <v>0</v>
      </c>
      <c r="AF572" s="39">
        <f>AD572+AE572</f>
        <v>0</v>
      </c>
      <c r="AG572" s="47" t="str">
        <f t="shared" si="49"/>
        <v>|</v>
      </c>
      <c r="AI572" s="26" t="s">
        <v>685</v>
      </c>
    </row>
    <row r="573" spans="1:35" ht="24" customHeight="1">
      <c r="A573" s="50">
        <f t="shared" ref="A573:A587" si="64">(A572+1)</f>
        <v>382</v>
      </c>
      <c r="B573" s="51" t="s">
        <v>771</v>
      </c>
      <c r="C573" s="66"/>
      <c r="D573" s="51" t="s">
        <v>27</v>
      </c>
      <c r="H573" s="26" t="s">
        <v>772</v>
      </c>
      <c r="T573" s="29"/>
      <c r="U573" s="26" t="s">
        <v>772</v>
      </c>
      <c r="W573" s="31"/>
      <c r="AG573" s="47" t="str">
        <f t="shared" si="49"/>
        <v>|</v>
      </c>
      <c r="AI573" s="26" t="s">
        <v>685</v>
      </c>
    </row>
    <row r="574" spans="1:35" ht="24" customHeight="1">
      <c r="A574" s="50">
        <f t="shared" si="64"/>
        <v>383</v>
      </c>
      <c r="B574" s="51" t="s">
        <v>721</v>
      </c>
      <c r="C574" s="52">
        <v>6</v>
      </c>
      <c r="D574" s="51" t="s">
        <v>105</v>
      </c>
      <c r="H574" s="26" t="s">
        <v>773</v>
      </c>
      <c r="N574" s="26" t="s">
        <v>644</v>
      </c>
      <c r="O574" s="26" t="s">
        <v>774</v>
      </c>
      <c r="T574" s="29"/>
      <c r="U574" s="26" t="s">
        <v>773</v>
      </c>
      <c r="W574" s="31"/>
      <c r="AG574" s="47" t="str">
        <f t="shared" si="49"/>
        <v>|</v>
      </c>
      <c r="AI574" s="26" t="s">
        <v>685</v>
      </c>
    </row>
    <row r="575" spans="1:35" ht="24" customHeight="1">
      <c r="A575" s="50">
        <f t="shared" si="64"/>
        <v>384</v>
      </c>
      <c r="B575" s="51" t="s">
        <v>713</v>
      </c>
      <c r="C575" s="52">
        <v>9.4499999999999993</v>
      </c>
      <c r="D575" s="51" t="s">
        <v>105</v>
      </c>
      <c r="H575" s="26" t="s">
        <v>775</v>
      </c>
      <c r="O575" s="35" t="s">
        <v>48</v>
      </c>
      <c r="T575" s="29"/>
      <c r="U575" s="26" t="s">
        <v>775</v>
      </c>
      <c r="W575" s="31"/>
      <c r="AG575" s="47" t="str">
        <f t="shared" si="49"/>
        <v>|</v>
      </c>
      <c r="AI575" s="26" t="s">
        <v>685</v>
      </c>
    </row>
    <row r="576" spans="1:35" ht="24" customHeight="1">
      <c r="A576" s="50">
        <f t="shared" si="64"/>
        <v>385</v>
      </c>
      <c r="B576" s="51" t="s">
        <v>725</v>
      </c>
      <c r="C576" s="52">
        <v>7.3</v>
      </c>
      <c r="D576" s="51" t="s">
        <v>105</v>
      </c>
      <c r="H576" s="26" t="s">
        <v>776</v>
      </c>
      <c r="M576" s="40">
        <v>8.1</v>
      </c>
      <c r="N576" s="26" t="s">
        <v>93</v>
      </c>
      <c r="O576" s="26" t="s">
        <v>648</v>
      </c>
      <c r="P576" s="40">
        <f>(C61)*2</f>
        <v>235.2</v>
      </c>
      <c r="Q576" s="26" t="s">
        <v>93</v>
      </c>
      <c r="R576" s="40">
        <f>(M576*P576)</f>
        <v>1905.12</v>
      </c>
      <c r="T576" s="29"/>
      <c r="U576" s="26" t="s">
        <v>776</v>
      </c>
      <c r="W576" s="31"/>
      <c r="AG576" s="47" t="str">
        <f t="shared" si="49"/>
        <v>|</v>
      </c>
      <c r="AI576" s="26" t="s">
        <v>685</v>
      </c>
    </row>
    <row r="577" spans="1:35" ht="24" customHeight="1">
      <c r="A577" s="50">
        <f t="shared" si="64"/>
        <v>386</v>
      </c>
      <c r="B577" s="51" t="s">
        <v>767</v>
      </c>
      <c r="C577" s="52">
        <v>9.6999999999999993</v>
      </c>
      <c r="D577" s="51" t="s">
        <v>105</v>
      </c>
      <c r="H577" s="26" t="s">
        <v>777</v>
      </c>
      <c r="M577" s="40">
        <v>8.1</v>
      </c>
      <c r="N577" s="26" t="s">
        <v>93</v>
      </c>
      <c r="O577" s="26" t="s">
        <v>649</v>
      </c>
      <c r="P577" s="40">
        <f>(C26)</f>
        <v>41.019999999999996</v>
      </c>
      <c r="Q577" s="26" t="s">
        <v>93</v>
      </c>
      <c r="R577" s="40">
        <f>(M577*P577)</f>
        <v>332.26199999999994</v>
      </c>
      <c r="T577" s="29"/>
      <c r="U577" s="26" t="s">
        <v>777</v>
      </c>
      <c r="W577" s="31"/>
      <c r="AG577" s="47" t="str">
        <f t="shared" si="49"/>
        <v>|</v>
      </c>
      <c r="AI577" s="26" t="s">
        <v>685</v>
      </c>
    </row>
    <row r="578" spans="1:35" ht="24" customHeight="1">
      <c r="A578" s="50">
        <f t="shared" si="64"/>
        <v>387</v>
      </c>
      <c r="B578" s="51" t="s">
        <v>778</v>
      </c>
      <c r="C578" s="52">
        <v>12.2</v>
      </c>
      <c r="D578" s="51" t="s">
        <v>105</v>
      </c>
      <c r="H578" s="26" t="s">
        <v>779</v>
      </c>
      <c r="M578" s="40">
        <v>30</v>
      </c>
      <c r="N578" s="26" t="s">
        <v>244</v>
      </c>
      <c r="O578" s="26" t="s">
        <v>650</v>
      </c>
      <c r="P578" s="40">
        <f>(C661)</f>
        <v>8.1</v>
      </c>
      <c r="Q578" s="26" t="s">
        <v>244</v>
      </c>
      <c r="R578" s="40">
        <f>(M578*P578)</f>
        <v>243</v>
      </c>
      <c r="T578" s="29"/>
      <c r="U578" s="26" t="s">
        <v>779</v>
      </c>
      <c r="W578" s="31"/>
      <c r="AG578" s="47" t="str">
        <f t="shared" si="49"/>
        <v>|</v>
      </c>
      <c r="AI578" s="26" t="s">
        <v>685</v>
      </c>
    </row>
    <row r="579" spans="1:35" ht="24" customHeight="1">
      <c r="A579" s="50">
        <f t="shared" si="64"/>
        <v>388</v>
      </c>
      <c r="B579" s="51" t="s">
        <v>780</v>
      </c>
      <c r="C579" s="52">
        <v>18.3</v>
      </c>
      <c r="D579" s="51" t="s">
        <v>105</v>
      </c>
      <c r="H579" s="35" t="s">
        <v>48</v>
      </c>
      <c r="I579" s="35" t="s">
        <v>48</v>
      </c>
      <c r="O579" s="26" t="s">
        <v>781</v>
      </c>
      <c r="T579" s="29"/>
      <c r="U579" s="35" t="s">
        <v>48</v>
      </c>
      <c r="V579" s="35" t="s">
        <v>48</v>
      </c>
      <c r="W579" s="31"/>
      <c r="AG579" s="47" t="str">
        <f t="shared" si="49"/>
        <v>|</v>
      </c>
      <c r="AI579" s="26" t="s">
        <v>685</v>
      </c>
    </row>
    <row r="580" spans="1:35" ht="24" customHeight="1">
      <c r="A580" s="50">
        <f t="shared" si="64"/>
        <v>389</v>
      </c>
      <c r="B580" s="51" t="s">
        <v>782</v>
      </c>
      <c r="C580" s="52">
        <v>538</v>
      </c>
      <c r="D580" s="51" t="s">
        <v>105</v>
      </c>
      <c r="G580" s="38" t="s">
        <v>452</v>
      </c>
      <c r="H580" s="26" t="s">
        <v>783</v>
      </c>
      <c r="O580" s="26" t="s">
        <v>652</v>
      </c>
      <c r="T580" s="38" t="s">
        <v>452</v>
      </c>
      <c r="U580" s="26" t="s">
        <v>784</v>
      </c>
      <c r="W580" s="31"/>
      <c r="AG580" s="47" t="str">
        <f t="shared" si="49"/>
        <v>|</v>
      </c>
      <c r="AI580" s="26" t="s">
        <v>685</v>
      </c>
    </row>
    <row r="581" spans="1:35" ht="24" customHeight="1">
      <c r="A581" s="50">
        <f t="shared" si="64"/>
        <v>390</v>
      </c>
      <c r="B581" s="51" t="s">
        <v>785</v>
      </c>
      <c r="C581" s="52">
        <v>340</v>
      </c>
      <c r="D581" s="51" t="s">
        <v>105</v>
      </c>
      <c r="H581" s="26" t="s">
        <v>786</v>
      </c>
      <c r="O581" s="26" t="s">
        <v>653</v>
      </c>
      <c r="T581" s="29"/>
      <c r="U581" s="26" t="s">
        <v>786</v>
      </c>
      <c r="W581" s="31"/>
      <c r="AG581" s="47" t="str">
        <f t="shared" si="49"/>
        <v>|</v>
      </c>
      <c r="AI581" s="26" t="s">
        <v>685</v>
      </c>
    </row>
    <row r="582" spans="1:35" ht="24" customHeight="1">
      <c r="A582" s="50">
        <f t="shared" si="64"/>
        <v>391</v>
      </c>
      <c r="B582" s="51" t="s">
        <v>787</v>
      </c>
      <c r="C582" s="52">
        <v>1039</v>
      </c>
      <c r="D582" s="51" t="s">
        <v>105</v>
      </c>
      <c r="F582" s="40">
        <v>10</v>
      </c>
      <c r="G582" s="38" t="s">
        <v>788</v>
      </c>
      <c r="H582" s="26" t="s">
        <v>789</v>
      </c>
      <c r="I582" s="48">
        <f>C751</f>
        <v>366</v>
      </c>
      <c r="J582" s="26" t="s">
        <v>788</v>
      </c>
      <c r="K582" s="40">
        <f>(F582*I582)</f>
        <v>3660</v>
      </c>
      <c r="O582" s="26" t="s">
        <v>654</v>
      </c>
      <c r="S582" s="76">
        <v>10</v>
      </c>
      <c r="T582" s="38" t="s">
        <v>788</v>
      </c>
      <c r="U582" s="26" t="s">
        <v>789</v>
      </c>
      <c r="V582" s="48">
        <f>I604</f>
        <v>397</v>
      </c>
      <c r="W582" s="26" t="s">
        <v>788</v>
      </c>
      <c r="X582" s="40">
        <f>(S582*V582)</f>
        <v>3970</v>
      </c>
      <c r="Y582" s="40"/>
      <c r="AG582" s="47" t="str">
        <f t="shared" si="49"/>
        <v>|</v>
      </c>
      <c r="AI582" s="26" t="s">
        <v>685</v>
      </c>
    </row>
    <row r="583" spans="1:35" ht="24" customHeight="1">
      <c r="A583" s="50">
        <f t="shared" si="64"/>
        <v>392</v>
      </c>
      <c r="B583" s="51" t="s">
        <v>790</v>
      </c>
      <c r="C583" s="52">
        <v>226</v>
      </c>
      <c r="D583" s="51" t="s">
        <v>105</v>
      </c>
      <c r="F583" s="40">
        <v>1</v>
      </c>
      <c r="G583" s="38" t="s">
        <v>791</v>
      </c>
      <c r="H583" s="26" t="s">
        <v>792</v>
      </c>
      <c r="I583" s="40">
        <f>C10</f>
        <v>1076.5999999999999</v>
      </c>
      <c r="J583" s="26" t="s">
        <v>793</v>
      </c>
      <c r="K583" s="40">
        <f>(F583*I583)</f>
        <v>1076.5999999999999</v>
      </c>
      <c r="M583" s="40">
        <v>8</v>
      </c>
      <c r="N583" s="26" t="s">
        <v>196</v>
      </c>
      <c r="O583" s="26" t="s">
        <v>657</v>
      </c>
      <c r="P583" s="40">
        <f>(C663)</f>
        <v>7.1</v>
      </c>
      <c r="Q583" s="26" t="s">
        <v>196</v>
      </c>
      <c r="R583" s="40">
        <f>(M583*P583)</f>
        <v>56.8</v>
      </c>
      <c r="S583" s="76">
        <v>1</v>
      </c>
      <c r="T583" s="38" t="s">
        <v>791</v>
      </c>
      <c r="U583" s="26" t="s">
        <v>792</v>
      </c>
      <c r="V583" s="40">
        <f>I583</f>
        <v>1076.5999999999999</v>
      </c>
      <c r="W583" s="26" t="s">
        <v>793</v>
      </c>
      <c r="X583" s="40">
        <f>(S583*V583)</f>
        <v>1076.5999999999999</v>
      </c>
      <c r="Y583" s="40"/>
      <c r="AG583" s="47" t="str">
        <f t="shared" si="49"/>
        <v>|</v>
      </c>
      <c r="AI583" s="26" t="s">
        <v>685</v>
      </c>
    </row>
    <row r="584" spans="1:35" ht="24" customHeight="1">
      <c r="A584" s="50">
        <f t="shared" si="64"/>
        <v>393</v>
      </c>
      <c r="B584" s="51" t="s">
        <v>794</v>
      </c>
      <c r="C584" s="52">
        <v>31</v>
      </c>
      <c r="D584" s="51" t="s">
        <v>533</v>
      </c>
      <c r="F584" s="40">
        <v>1</v>
      </c>
      <c r="G584" s="38" t="s">
        <v>791</v>
      </c>
      <c r="H584" s="26" t="s">
        <v>795</v>
      </c>
      <c r="I584" s="40">
        <f>C12</f>
        <v>702.8</v>
      </c>
      <c r="J584" s="26" t="s">
        <v>793</v>
      </c>
      <c r="K584" s="40">
        <f>(F584*I584)</f>
        <v>702.8</v>
      </c>
      <c r="M584" s="40">
        <v>8</v>
      </c>
      <c r="N584" s="26" t="s">
        <v>196</v>
      </c>
      <c r="O584" s="26" t="s">
        <v>660</v>
      </c>
      <c r="P584" s="40">
        <f>(C672)</f>
        <v>10.199999999999999</v>
      </c>
      <c r="Q584" s="26" t="s">
        <v>196</v>
      </c>
      <c r="R584" s="40">
        <f>(M584*P584)</f>
        <v>81.599999999999994</v>
      </c>
      <c r="S584" s="76">
        <v>1</v>
      </c>
      <c r="T584" s="38" t="s">
        <v>791</v>
      </c>
      <c r="U584" s="26" t="s">
        <v>795</v>
      </c>
      <c r="V584" s="40">
        <f>I584</f>
        <v>702.8</v>
      </c>
      <c r="W584" s="26" t="s">
        <v>793</v>
      </c>
      <c r="X584" s="40">
        <f>(S584*V584)</f>
        <v>702.8</v>
      </c>
      <c r="Y584" s="40"/>
      <c r="AG584" s="47" t="str">
        <f t="shared" si="49"/>
        <v>|</v>
      </c>
      <c r="AI584" s="26" t="s">
        <v>685</v>
      </c>
    </row>
    <row r="585" spans="1:35" ht="24" customHeight="1">
      <c r="A585" s="50">
        <f t="shared" si="64"/>
        <v>394</v>
      </c>
      <c r="B585" s="51" t="s">
        <v>796</v>
      </c>
      <c r="C585" s="49">
        <v>202</v>
      </c>
      <c r="D585" s="51" t="s">
        <v>105</v>
      </c>
      <c r="G585" s="38" t="s">
        <v>106</v>
      </c>
      <c r="H585" s="26" t="s">
        <v>797</v>
      </c>
      <c r="J585" s="26" t="s">
        <v>106</v>
      </c>
      <c r="K585" s="40">
        <v>120</v>
      </c>
      <c r="M585" s="40">
        <v>1</v>
      </c>
      <c r="N585" s="26" t="s">
        <v>106</v>
      </c>
      <c r="O585" s="26" t="s">
        <v>662</v>
      </c>
      <c r="P585" s="40">
        <f>(C673)</f>
        <v>4</v>
      </c>
      <c r="Q585" s="26" t="s">
        <v>106</v>
      </c>
      <c r="R585" s="40">
        <f>(M585*P585)</f>
        <v>4</v>
      </c>
      <c r="T585" s="38" t="s">
        <v>106</v>
      </c>
      <c r="U585" s="26" t="s">
        <v>797</v>
      </c>
      <c r="V585" s="40">
        <f>I585</f>
        <v>0</v>
      </c>
      <c r="W585" s="26" t="s">
        <v>106</v>
      </c>
      <c r="X585" s="40">
        <v>120</v>
      </c>
      <c r="Y585" s="40"/>
      <c r="AG585" s="47" t="str">
        <f t="shared" si="49"/>
        <v>|</v>
      </c>
      <c r="AI585" s="26" t="s">
        <v>685</v>
      </c>
    </row>
    <row r="586" spans="1:35" ht="24" customHeight="1">
      <c r="A586" s="50">
        <f t="shared" si="64"/>
        <v>395</v>
      </c>
      <c r="B586" s="51" t="s">
        <v>798</v>
      </c>
      <c r="C586" s="52">
        <v>82.2</v>
      </c>
      <c r="D586" s="51" t="s">
        <v>105</v>
      </c>
      <c r="H586" s="26" t="s">
        <v>799</v>
      </c>
      <c r="K586" s="35" t="s">
        <v>48</v>
      </c>
      <c r="M586" s="40">
        <v>1</v>
      </c>
      <c r="N586" s="26" t="s">
        <v>106</v>
      </c>
      <c r="O586" s="26" t="s">
        <v>107</v>
      </c>
      <c r="Q586" s="26" t="s">
        <v>106</v>
      </c>
      <c r="R586" s="40">
        <v>0</v>
      </c>
      <c r="T586" s="29"/>
      <c r="U586" s="26" t="s">
        <v>799</v>
      </c>
      <c r="W586" s="31"/>
      <c r="X586" s="35" t="s">
        <v>48</v>
      </c>
      <c r="Y586" s="35"/>
      <c r="AG586" s="47">
        <f t="shared" si="49"/>
        <v>0</v>
      </c>
    </row>
    <row r="587" spans="1:35" ht="24" customHeight="1">
      <c r="A587" s="50">
        <f t="shared" si="64"/>
        <v>396</v>
      </c>
      <c r="B587" s="51" t="s">
        <v>800</v>
      </c>
      <c r="C587" s="52">
        <v>57.51</v>
      </c>
      <c r="D587" s="51" t="s">
        <v>105</v>
      </c>
      <c r="H587" s="27" t="s">
        <v>801</v>
      </c>
      <c r="K587" s="40">
        <f>SUM(K582:K585)</f>
        <v>5559.4000000000005</v>
      </c>
      <c r="R587" s="35" t="s">
        <v>48</v>
      </c>
      <c r="T587" s="29"/>
      <c r="U587" s="27" t="s">
        <v>801</v>
      </c>
      <c r="W587" s="31"/>
      <c r="X587" s="40">
        <f>SUM(X582:X585)</f>
        <v>5869.4000000000005</v>
      </c>
      <c r="Y587" s="40"/>
      <c r="AG587" s="47" t="str">
        <f t="shared" si="49"/>
        <v>|</v>
      </c>
      <c r="AI587" s="26" t="s">
        <v>685</v>
      </c>
    </row>
    <row r="588" spans="1:35" ht="24" customHeight="1">
      <c r="A588" s="50">
        <f>(A587+1)</f>
        <v>397</v>
      </c>
      <c r="B588" s="51" t="s">
        <v>802</v>
      </c>
      <c r="C588" s="73">
        <v>30</v>
      </c>
      <c r="D588" s="51" t="s">
        <v>105</v>
      </c>
      <c r="K588" s="35" t="s">
        <v>48</v>
      </c>
      <c r="O588" s="26" t="s">
        <v>664</v>
      </c>
      <c r="R588" s="40">
        <f>SUM(R576:R586)</f>
        <v>2622.7819999999997</v>
      </c>
      <c r="T588" s="29"/>
      <c r="W588" s="31"/>
      <c r="X588" s="35" t="s">
        <v>48</v>
      </c>
      <c r="Y588" s="35"/>
      <c r="AG588" s="47" t="str">
        <f t="shared" si="49"/>
        <v>|</v>
      </c>
      <c r="AI588" s="26" t="s">
        <v>685</v>
      </c>
    </row>
    <row r="589" spans="1:35" ht="24" customHeight="1">
      <c r="A589" s="50">
        <f t="shared" ref="A589:A636" si="65">(A588+1)</f>
        <v>398</v>
      </c>
      <c r="B589" s="51" t="s">
        <v>803</v>
      </c>
      <c r="C589" s="52">
        <v>57.51</v>
      </c>
      <c r="D589" s="51" t="s">
        <v>105</v>
      </c>
      <c r="H589" s="27" t="s">
        <v>804</v>
      </c>
      <c r="K589" s="40">
        <f>K587/10</f>
        <v>555.94000000000005</v>
      </c>
      <c r="R589" s="35" t="s">
        <v>48</v>
      </c>
      <c r="T589" s="29"/>
      <c r="U589" s="27" t="s">
        <v>804</v>
      </c>
      <c r="W589" s="31"/>
      <c r="X589" s="40">
        <f>X587/10</f>
        <v>586.94000000000005</v>
      </c>
      <c r="Y589" s="40"/>
      <c r="AG589" s="47" t="str">
        <f t="shared" si="49"/>
        <v>|</v>
      </c>
      <c r="AI589" s="26" t="s">
        <v>685</v>
      </c>
    </row>
    <row r="590" spans="1:35" ht="24" customHeight="1">
      <c r="A590" s="50">
        <f t="shared" si="65"/>
        <v>399</v>
      </c>
      <c r="B590" s="51" t="s">
        <v>805</v>
      </c>
      <c r="C590" s="52">
        <v>20</v>
      </c>
      <c r="D590" s="51" t="s">
        <v>105</v>
      </c>
      <c r="H590" s="26" t="s">
        <v>309</v>
      </c>
      <c r="I590" s="40">
        <f t="shared" ref="I590:I599" si="66">K589</f>
        <v>555.94000000000005</v>
      </c>
      <c r="J590" s="26">
        <f>C22*0.02</f>
        <v>2.5171999999999999</v>
      </c>
      <c r="K590" s="39">
        <f>I590+J590</f>
        <v>558.45720000000006</v>
      </c>
      <c r="O590" s="26" t="s">
        <v>665</v>
      </c>
      <c r="R590" s="40">
        <f>(R588/30)</f>
        <v>87.426066666666657</v>
      </c>
      <c r="T590" s="29"/>
      <c r="U590" s="26" t="s">
        <v>309</v>
      </c>
      <c r="V590" s="40">
        <f>J612</f>
        <v>5.0343999999999998</v>
      </c>
      <c r="W590" s="26">
        <f>P22*0.02</f>
        <v>55.316800000000001</v>
      </c>
      <c r="X590" s="39">
        <f>X589+V590</f>
        <v>591.97440000000006</v>
      </c>
      <c r="Y590" s="39"/>
      <c r="AG590" s="47" t="str">
        <f t="shared" si="49"/>
        <v>|</v>
      </c>
      <c r="AI590" s="26" t="s">
        <v>685</v>
      </c>
    </row>
    <row r="591" spans="1:35" ht="24" customHeight="1">
      <c r="A591" s="50">
        <f t="shared" si="65"/>
        <v>400</v>
      </c>
      <c r="B591" s="51" t="s">
        <v>806</v>
      </c>
      <c r="C591" s="52">
        <v>21.92</v>
      </c>
      <c r="D591" s="51" t="s">
        <v>105</v>
      </c>
      <c r="H591" s="26" t="s">
        <v>313</v>
      </c>
      <c r="I591" s="40">
        <f t="shared" si="66"/>
        <v>558.45720000000006</v>
      </c>
      <c r="J591" s="26">
        <f>C23*0.02</f>
        <v>4.9559999999999995</v>
      </c>
      <c r="K591" s="39">
        <f>I591+J591</f>
        <v>563.41320000000007</v>
      </c>
      <c r="N591" s="26" t="s">
        <v>67</v>
      </c>
      <c r="O591" s="26" t="s">
        <v>807</v>
      </c>
      <c r="T591" s="29"/>
      <c r="U591" s="26" t="s">
        <v>313</v>
      </c>
      <c r="V591" s="40">
        <f>J613</f>
        <v>9.911999999999999</v>
      </c>
      <c r="W591" s="26">
        <f>P23*0.02</f>
        <v>40.797000000000004</v>
      </c>
      <c r="X591" s="39">
        <f>X590+V591</f>
        <v>601.88640000000009</v>
      </c>
      <c r="Y591" s="39"/>
      <c r="AG591" s="47" t="str">
        <f t="shared" si="49"/>
        <v>|</v>
      </c>
      <c r="AI591" s="26" t="s">
        <v>685</v>
      </c>
    </row>
    <row r="592" spans="1:35" ht="24" customHeight="1">
      <c r="A592" s="50">
        <f t="shared" si="65"/>
        <v>401</v>
      </c>
      <c r="B592" s="51" t="s">
        <v>808</v>
      </c>
      <c r="C592" s="52">
        <v>128</v>
      </c>
      <c r="D592" s="51" t="s">
        <v>105</v>
      </c>
      <c r="H592" s="26" t="s">
        <v>316</v>
      </c>
      <c r="I592" s="40">
        <f t="shared" si="66"/>
        <v>563.41320000000007</v>
      </c>
      <c r="J592" s="26">
        <f>C23*0.02</f>
        <v>4.9559999999999995</v>
      </c>
      <c r="K592" s="39">
        <f>I592+J592</f>
        <v>568.36920000000009</v>
      </c>
      <c r="O592" s="26" t="s">
        <v>809</v>
      </c>
      <c r="T592" s="29"/>
      <c r="U592" s="26" t="s">
        <v>316</v>
      </c>
      <c r="V592" s="40">
        <f>J614</f>
        <v>9.911999999999999</v>
      </c>
      <c r="W592" s="26">
        <f>P23*0.02</f>
        <v>40.797000000000004</v>
      </c>
      <c r="X592" s="39">
        <f>X591+V592</f>
        <v>611.79840000000013</v>
      </c>
      <c r="Y592" s="39"/>
      <c r="AG592" s="47" t="str">
        <f t="shared" si="49"/>
        <v>|</v>
      </c>
      <c r="AI592" s="26" t="s">
        <v>685</v>
      </c>
    </row>
    <row r="593" spans="1:35" ht="24" customHeight="1">
      <c r="A593" s="50">
        <f t="shared" si="65"/>
        <v>402</v>
      </c>
      <c r="B593" s="51" t="s">
        <v>810</v>
      </c>
      <c r="C593" s="49">
        <v>847</v>
      </c>
      <c r="D593" s="51" t="s">
        <v>105</v>
      </c>
      <c r="H593" s="26" t="s">
        <v>318</v>
      </c>
      <c r="I593" s="40">
        <f t="shared" si="66"/>
        <v>568.36920000000009</v>
      </c>
      <c r="J593" s="26">
        <f>C23*0.02</f>
        <v>4.9559999999999995</v>
      </c>
      <c r="K593" s="39">
        <f>I593+J593</f>
        <v>573.32520000000011</v>
      </c>
      <c r="O593" s="35" t="s">
        <v>48</v>
      </c>
      <c r="T593" s="29"/>
      <c r="U593" s="26" t="s">
        <v>318</v>
      </c>
      <c r="V593" s="40">
        <f>J615</f>
        <v>9.911999999999999</v>
      </c>
      <c r="W593" s="26">
        <f>P23*0.02</f>
        <v>40.797000000000004</v>
      </c>
      <c r="X593" s="39">
        <f>X592+V593</f>
        <v>621.71040000000016</v>
      </c>
      <c r="Y593" s="39"/>
      <c r="AG593" s="47" t="str">
        <f t="shared" si="49"/>
        <v>|</v>
      </c>
      <c r="AI593" s="26" t="s">
        <v>685</v>
      </c>
    </row>
    <row r="594" spans="1:35" ht="24" customHeight="1">
      <c r="A594" s="50"/>
      <c r="B594" s="51"/>
      <c r="C594" s="52"/>
      <c r="D594" s="51"/>
      <c r="H594" s="26" t="s">
        <v>707</v>
      </c>
      <c r="I594" s="40">
        <f t="shared" si="66"/>
        <v>573.32520000000011</v>
      </c>
      <c r="J594" s="26">
        <f>C23*0.02</f>
        <v>4.9559999999999995</v>
      </c>
      <c r="K594" s="39">
        <f t="shared" ref="K594:K599" si="67">I594+J594</f>
        <v>578.28120000000013</v>
      </c>
      <c r="O594" s="35"/>
      <c r="T594" s="29"/>
      <c r="U594" s="26" t="s">
        <v>707</v>
      </c>
      <c r="V594" s="40">
        <f>J616</f>
        <v>9.911999999999999</v>
      </c>
      <c r="W594" s="26">
        <f>P24*0.02</f>
        <v>2.4359999999999999</v>
      </c>
      <c r="X594" s="39">
        <f>X593+V594</f>
        <v>631.6224000000002</v>
      </c>
      <c r="Y594" s="39"/>
      <c r="AG594" s="47" t="str">
        <f t="shared" si="49"/>
        <v>|::</v>
      </c>
      <c r="AI594" s="26" t="s">
        <v>469</v>
      </c>
    </row>
    <row r="595" spans="1:35" ht="24" customHeight="1">
      <c r="A595" s="50">
        <f>(A593+1)</f>
        <v>403</v>
      </c>
      <c r="B595" s="51" t="s">
        <v>811</v>
      </c>
      <c r="C595" s="52">
        <v>21</v>
      </c>
      <c r="D595" s="51" t="s">
        <v>105</v>
      </c>
      <c r="H595" s="26" t="s">
        <v>632</v>
      </c>
      <c r="I595" s="40">
        <f t="shared" si="66"/>
        <v>578.28120000000013</v>
      </c>
      <c r="J595" s="26">
        <f>C23*0.02</f>
        <v>4.9559999999999995</v>
      </c>
      <c r="K595" s="39">
        <f t="shared" si="67"/>
        <v>583.23720000000014</v>
      </c>
      <c r="M595" s="40">
        <v>1.08</v>
      </c>
      <c r="N595" s="26" t="s">
        <v>93</v>
      </c>
      <c r="O595" s="26" t="s">
        <v>812</v>
      </c>
      <c r="P595" s="40">
        <f>(K88)</f>
        <v>248.87333333333331</v>
      </c>
      <c r="Q595" s="26" t="s">
        <v>93</v>
      </c>
      <c r="R595" s="40">
        <f>(M595*P595)</f>
        <v>268.78319999999997</v>
      </c>
      <c r="S595" s="83">
        <v>15.2</v>
      </c>
      <c r="T595" s="38" t="s">
        <v>452</v>
      </c>
      <c r="U595" s="26" t="s">
        <v>813</v>
      </c>
      <c r="W595" s="31"/>
      <c r="X595" s="39">
        <f>X594+V594</f>
        <v>641.53440000000023</v>
      </c>
      <c r="Y595" s="39"/>
      <c r="AG595" s="47">
        <f t="shared" si="49"/>
        <v>0</v>
      </c>
    </row>
    <row r="596" spans="1:35" ht="24" customHeight="1">
      <c r="A596" s="50">
        <f t="shared" si="65"/>
        <v>404</v>
      </c>
      <c r="B596" s="51" t="s">
        <v>814</v>
      </c>
      <c r="C596" s="52">
        <v>150</v>
      </c>
      <c r="D596" s="51" t="s">
        <v>105</v>
      </c>
      <c r="H596" s="26" t="s">
        <v>633</v>
      </c>
      <c r="I596" s="40">
        <f t="shared" si="66"/>
        <v>583.23720000000014</v>
      </c>
      <c r="J596" s="26">
        <f>C23*0.02</f>
        <v>4.9559999999999995</v>
      </c>
      <c r="K596" s="39">
        <f t="shared" si="67"/>
        <v>588.19320000000016</v>
      </c>
      <c r="M596" s="76">
        <v>0.216</v>
      </c>
      <c r="N596" s="26" t="s">
        <v>93</v>
      </c>
      <c r="O596" s="26" t="s">
        <v>815</v>
      </c>
      <c r="P596" s="40">
        <f>(R60)</f>
        <v>5588.5829999999996</v>
      </c>
      <c r="Q596" s="26" t="s">
        <v>93</v>
      </c>
      <c r="R596" s="40">
        <f>(M596*P596)</f>
        <v>1207.133928</v>
      </c>
      <c r="AG596" s="47">
        <f t="shared" si="49"/>
        <v>0</v>
      </c>
    </row>
    <row r="597" spans="1:35" ht="24" customHeight="1">
      <c r="A597" s="50">
        <f t="shared" si="65"/>
        <v>405</v>
      </c>
      <c r="B597" s="51" t="s">
        <v>816</v>
      </c>
      <c r="C597" s="49">
        <v>21.2</v>
      </c>
      <c r="D597" s="51" t="s">
        <v>105</v>
      </c>
      <c r="H597" s="26" t="s">
        <v>634</v>
      </c>
      <c r="I597" s="40">
        <f t="shared" si="66"/>
        <v>588.19320000000016</v>
      </c>
      <c r="J597" s="26">
        <f>C23*0.02</f>
        <v>4.9559999999999995</v>
      </c>
      <c r="K597" s="39">
        <f t="shared" si="67"/>
        <v>593.14920000000018</v>
      </c>
      <c r="M597" s="76">
        <v>0.48699999999999999</v>
      </c>
      <c r="N597" s="26" t="s">
        <v>93</v>
      </c>
      <c r="O597" s="26" t="s">
        <v>817</v>
      </c>
      <c r="P597" s="40">
        <f>(R89)</f>
        <v>8213.3829999999998</v>
      </c>
      <c r="Q597" s="26" t="s">
        <v>93</v>
      </c>
      <c r="R597" s="40">
        <f>(M597*P597)</f>
        <v>3999.9175209999999</v>
      </c>
      <c r="AG597" s="47" t="str">
        <f t="shared" ref="AG597:AG637" si="68">AI597</f>
        <v>|</v>
      </c>
      <c r="AI597" s="26" t="s">
        <v>685</v>
      </c>
    </row>
    <row r="598" spans="1:35" ht="33.75" customHeight="1">
      <c r="A598" s="50">
        <f t="shared" si="65"/>
        <v>406</v>
      </c>
      <c r="B598" s="111" t="s">
        <v>818</v>
      </c>
      <c r="C598" s="49">
        <v>50.9</v>
      </c>
      <c r="D598" s="49">
        <v>43.8</v>
      </c>
      <c r="E598" s="28" t="s">
        <v>819</v>
      </c>
      <c r="H598" s="26" t="s">
        <v>820</v>
      </c>
      <c r="I598" s="40">
        <f t="shared" si="66"/>
        <v>593.14920000000018</v>
      </c>
      <c r="J598" s="26">
        <f>C23*0.02</f>
        <v>4.9559999999999995</v>
      </c>
      <c r="K598" s="39">
        <f t="shared" si="67"/>
        <v>598.1052000000002</v>
      </c>
      <c r="M598" s="76">
        <v>5.36</v>
      </c>
      <c r="N598" s="26" t="s">
        <v>438</v>
      </c>
      <c r="O598" s="26" t="s">
        <v>821</v>
      </c>
      <c r="P598" s="40">
        <f>(R304)</f>
        <v>296.91696000000002</v>
      </c>
      <c r="Q598" s="26" t="s">
        <v>438</v>
      </c>
      <c r="R598" s="40">
        <f>(M598*P598)</f>
        <v>1591.4749056000003</v>
      </c>
      <c r="AG598" s="47" t="str">
        <f t="shared" si="68"/>
        <v>|</v>
      </c>
      <c r="AI598" s="26" t="s">
        <v>685</v>
      </c>
    </row>
    <row r="599" spans="1:35" ht="24" customHeight="1">
      <c r="A599" s="50">
        <f t="shared" si="65"/>
        <v>407</v>
      </c>
      <c r="B599" s="51" t="s">
        <v>822</v>
      </c>
      <c r="C599" s="52">
        <v>208.5</v>
      </c>
      <c r="D599" s="51" t="s">
        <v>105</v>
      </c>
      <c r="H599" s="26">
        <v>9</v>
      </c>
      <c r="I599" s="40">
        <f t="shared" si="66"/>
        <v>598.1052000000002</v>
      </c>
      <c r="J599" s="26">
        <f>C23*0.02</f>
        <v>4.9559999999999995</v>
      </c>
      <c r="K599" s="39">
        <f t="shared" si="67"/>
        <v>603.06120000000021</v>
      </c>
      <c r="M599" s="76">
        <v>3.2000000000000001E-2</v>
      </c>
      <c r="N599" s="26" t="s">
        <v>93</v>
      </c>
      <c r="O599" s="26" t="s">
        <v>823</v>
      </c>
      <c r="P599" s="40">
        <f>(K643)</f>
        <v>9743</v>
      </c>
      <c r="Q599" s="26" t="s">
        <v>93</v>
      </c>
      <c r="R599" s="40">
        <f>(M599*P599)</f>
        <v>311.77600000000001</v>
      </c>
      <c r="AG599" s="47" t="str">
        <f t="shared" si="68"/>
        <v>|</v>
      </c>
      <c r="AI599" s="26" t="s">
        <v>685</v>
      </c>
    </row>
    <row r="600" spans="1:35" ht="24" customHeight="1">
      <c r="A600" s="50">
        <f t="shared" si="65"/>
        <v>408</v>
      </c>
      <c r="B600" s="109" t="s">
        <v>824</v>
      </c>
      <c r="C600" s="128">
        <v>148.4</v>
      </c>
      <c r="D600" s="51" t="s">
        <v>105</v>
      </c>
      <c r="H600" s="26"/>
      <c r="I600" s="40"/>
      <c r="J600" s="26"/>
      <c r="K600" s="39"/>
      <c r="O600" s="26" t="s">
        <v>825</v>
      </c>
      <c r="R600" s="26" t="s">
        <v>27</v>
      </c>
      <c r="AG600" s="47" t="str">
        <f t="shared" si="68"/>
        <v>|</v>
      </c>
      <c r="AI600" s="26" t="s">
        <v>685</v>
      </c>
    </row>
    <row r="601" spans="1:35" ht="47.25" customHeight="1">
      <c r="A601" s="50">
        <f t="shared" si="65"/>
        <v>409</v>
      </c>
      <c r="B601" s="129" t="s">
        <v>826</v>
      </c>
      <c r="C601" s="130">
        <v>346.14</v>
      </c>
      <c r="D601" s="51" t="s">
        <v>438</v>
      </c>
      <c r="H601" s="26"/>
      <c r="I601" s="40"/>
      <c r="J601" s="26"/>
      <c r="K601" s="39"/>
      <c r="N601" s="26" t="s">
        <v>106</v>
      </c>
      <c r="O601" s="26" t="s">
        <v>827</v>
      </c>
      <c r="Q601" s="26" t="s">
        <v>106</v>
      </c>
      <c r="R601" s="40">
        <v>2.92</v>
      </c>
      <c r="AG601" s="47" t="str">
        <f t="shared" si="68"/>
        <v>|</v>
      </c>
      <c r="AI601" s="26" t="s">
        <v>685</v>
      </c>
    </row>
    <row r="602" spans="1:35" ht="31.5">
      <c r="A602" s="50">
        <f t="shared" si="65"/>
        <v>410</v>
      </c>
      <c r="B602" s="111" t="s">
        <v>828</v>
      </c>
      <c r="C602" s="49">
        <v>385</v>
      </c>
      <c r="D602" s="51" t="s">
        <v>438</v>
      </c>
      <c r="E602" s="26">
        <f>7.7/0.02</f>
        <v>385</v>
      </c>
      <c r="F602" s="77">
        <v>15.2</v>
      </c>
      <c r="G602" s="38" t="s">
        <v>452</v>
      </c>
      <c r="H602" s="26" t="s">
        <v>813</v>
      </c>
      <c r="K602" s="131">
        <f>K594+J594</f>
        <v>583.23720000000014</v>
      </c>
      <c r="R602" s="35" t="s">
        <v>48</v>
      </c>
      <c r="AG602" s="47" t="str">
        <f t="shared" si="68"/>
        <v>|</v>
      </c>
      <c r="AI602" s="26" t="s">
        <v>685</v>
      </c>
    </row>
    <row r="603" spans="1:35" ht="24" customHeight="1">
      <c r="A603" s="50">
        <f t="shared" si="65"/>
        <v>411</v>
      </c>
      <c r="B603" s="51" t="s">
        <v>829</v>
      </c>
      <c r="C603" s="52">
        <v>75</v>
      </c>
      <c r="D603" s="51" t="s">
        <v>105</v>
      </c>
      <c r="H603" s="26" t="s">
        <v>786</v>
      </c>
      <c r="O603" s="26" t="s">
        <v>830</v>
      </c>
      <c r="R603" s="40">
        <f>SUM(R595:R601)</f>
        <v>7382.0055546000003</v>
      </c>
      <c r="AG603" s="47" t="str">
        <f t="shared" si="68"/>
        <v>|</v>
      </c>
      <c r="AI603" s="26" t="s">
        <v>685</v>
      </c>
    </row>
    <row r="604" spans="1:35" ht="24" customHeight="1">
      <c r="A604" s="50">
        <f t="shared" si="65"/>
        <v>412</v>
      </c>
      <c r="B604" s="51" t="s">
        <v>831</v>
      </c>
      <c r="C604" s="52">
        <v>125</v>
      </c>
      <c r="D604" s="51" t="s">
        <v>105</v>
      </c>
      <c r="F604" s="40">
        <v>1</v>
      </c>
      <c r="G604" s="38" t="s">
        <v>788</v>
      </c>
      <c r="H604" s="26" t="s">
        <v>789</v>
      </c>
      <c r="I604" s="40">
        <f>D751</f>
        <v>397</v>
      </c>
      <c r="J604" s="26" t="s">
        <v>788</v>
      </c>
      <c r="K604" s="40">
        <f>(F604*I604)</f>
        <v>397</v>
      </c>
      <c r="R604" s="35" t="s">
        <v>48</v>
      </c>
      <c r="AG604" s="47" t="str">
        <f t="shared" si="68"/>
        <v>|</v>
      </c>
      <c r="AI604" s="26" t="s">
        <v>685</v>
      </c>
    </row>
    <row r="605" spans="1:35" ht="24" customHeight="1">
      <c r="A605" s="50">
        <f t="shared" si="65"/>
        <v>413</v>
      </c>
      <c r="B605" s="51" t="s">
        <v>832</v>
      </c>
      <c r="C605" s="52">
        <v>190</v>
      </c>
      <c r="D605" s="51" t="s">
        <v>105</v>
      </c>
      <c r="F605" s="40">
        <v>0.75</v>
      </c>
      <c r="G605" s="38" t="s">
        <v>791</v>
      </c>
      <c r="H605" s="26" t="s">
        <v>792</v>
      </c>
      <c r="I605" s="40">
        <f>C10</f>
        <v>1076.5999999999999</v>
      </c>
      <c r="J605" s="26" t="s">
        <v>793</v>
      </c>
      <c r="K605" s="40">
        <f>(F605*I605)</f>
        <v>807.44999999999993</v>
      </c>
      <c r="N605" s="26" t="s">
        <v>67</v>
      </c>
      <c r="O605" s="26" t="s">
        <v>807</v>
      </c>
      <c r="AG605" s="47" t="str">
        <f t="shared" si="68"/>
        <v>|</v>
      </c>
      <c r="AI605" s="26" t="s">
        <v>685</v>
      </c>
    </row>
    <row r="606" spans="1:35" ht="24" customHeight="1">
      <c r="A606" s="50">
        <f t="shared" si="65"/>
        <v>414</v>
      </c>
      <c r="B606" s="51" t="s">
        <v>833</v>
      </c>
      <c r="C606" s="52">
        <v>16</v>
      </c>
      <c r="D606" s="51" t="s">
        <v>105</v>
      </c>
      <c r="F606" s="40">
        <v>0.75</v>
      </c>
      <c r="G606" s="38" t="s">
        <v>791</v>
      </c>
      <c r="H606" s="26" t="s">
        <v>795</v>
      </c>
      <c r="I606" s="40">
        <f>C12</f>
        <v>702.8</v>
      </c>
      <c r="J606" s="26" t="s">
        <v>793</v>
      </c>
      <c r="K606" s="40">
        <f>(F606*I606)</f>
        <v>527.09999999999991</v>
      </c>
      <c r="O606" s="26" t="s">
        <v>834</v>
      </c>
      <c r="AG606" s="47" t="str">
        <f t="shared" si="68"/>
        <v>|</v>
      </c>
      <c r="AI606" s="26" t="s">
        <v>685</v>
      </c>
    </row>
    <row r="607" spans="1:35" ht="24" customHeight="1">
      <c r="A607" s="50">
        <f t="shared" si="65"/>
        <v>415</v>
      </c>
      <c r="B607" s="51" t="s">
        <v>835</v>
      </c>
      <c r="C607" s="49">
        <v>11.6</v>
      </c>
      <c r="D607" s="51" t="s">
        <v>392</v>
      </c>
      <c r="F607" s="40">
        <v>0.5</v>
      </c>
      <c r="G607" s="38" t="s">
        <v>791</v>
      </c>
      <c r="H607" s="26" t="s">
        <v>836</v>
      </c>
      <c r="I607" s="40">
        <f>C41</f>
        <v>796.59999999999991</v>
      </c>
      <c r="J607" s="26" t="s">
        <v>793</v>
      </c>
      <c r="K607" s="40">
        <f>(F607*I607)</f>
        <v>398.29999999999995</v>
      </c>
      <c r="O607" s="35" t="s">
        <v>48</v>
      </c>
      <c r="AG607" s="47" t="str">
        <f t="shared" si="68"/>
        <v>|</v>
      </c>
      <c r="AI607" s="26" t="s">
        <v>685</v>
      </c>
    </row>
    <row r="608" spans="1:35" ht="24" customHeight="1">
      <c r="A608" s="50">
        <f t="shared" si="65"/>
        <v>416</v>
      </c>
      <c r="B608" s="51" t="s">
        <v>837</v>
      </c>
      <c r="C608" s="49">
        <v>24.5</v>
      </c>
      <c r="D608" s="51" t="s">
        <v>392</v>
      </c>
      <c r="E608" s="28">
        <f>22.2+26.8</f>
        <v>49</v>
      </c>
      <c r="G608" s="38" t="s">
        <v>106</v>
      </c>
      <c r="H608" s="26" t="s">
        <v>797</v>
      </c>
      <c r="J608" s="26" t="s">
        <v>106</v>
      </c>
      <c r="K608" s="40">
        <v>53.5</v>
      </c>
      <c r="M608" s="40">
        <v>1.3</v>
      </c>
      <c r="N608" s="26" t="s">
        <v>93</v>
      </c>
      <c r="O608" s="26" t="s">
        <v>812</v>
      </c>
      <c r="P608" s="40">
        <f>(K88)</f>
        <v>248.87333333333331</v>
      </c>
      <c r="Q608" s="26" t="s">
        <v>93</v>
      </c>
      <c r="R608" s="40">
        <f>(M608*P608)</f>
        <v>323.53533333333331</v>
      </c>
      <c r="AG608" s="47" t="str">
        <f t="shared" si="68"/>
        <v>|</v>
      </c>
      <c r="AI608" s="26" t="s">
        <v>685</v>
      </c>
    </row>
    <row r="609" spans="1:35" ht="24" customHeight="1">
      <c r="A609" s="50"/>
      <c r="B609" s="51" t="s">
        <v>838</v>
      </c>
      <c r="C609" s="49">
        <v>22.2</v>
      </c>
      <c r="D609" s="51" t="s">
        <v>392</v>
      </c>
      <c r="E609" s="28">
        <f>E608/2</f>
        <v>24.5</v>
      </c>
      <c r="H609" s="26" t="s">
        <v>799</v>
      </c>
      <c r="K609" s="35" t="s">
        <v>48</v>
      </c>
      <c r="M609" s="40"/>
      <c r="N609" s="26"/>
      <c r="O609" s="26"/>
      <c r="P609" s="40"/>
      <c r="Q609" s="26"/>
      <c r="R609" s="40"/>
      <c r="AG609" s="47" t="str">
        <f t="shared" si="68"/>
        <v>|</v>
      </c>
      <c r="AI609" s="26" t="s">
        <v>685</v>
      </c>
    </row>
    <row r="610" spans="1:35" ht="24" customHeight="1">
      <c r="A610" s="50">
        <f>(A608+1)</f>
        <v>417</v>
      </c>
      <c r="B610" s="51" t="s">
        <v>839</v>
      </c>
      <c r="C610" s="49">
        <v>26.8</v>
      </c>
      <c r="D610" s="51" t="s">
        <v>392</v>
      </c>
      <c r="H610" s="27" t="s">
        <v>840</v>
      </c>
      <c r="K610" s="40">
        <f>SUM(K604:K608)</f>
        <v>2183.3499999999995</v>
      </c>
      <c r="M610" s="76">
        <v>0.216</v>
      </c>
      <c r="N610" s="26" t="s">
        <v>93</v>
      </c>
      <c r="O610" s="26" t="s">
        <v>815</v>
      </c>
      <c r="P610" s="40">
        <f>(R60)</f>
        <v>5588.5829999999996</v>
      </c>
      <c r="Q610" s="26" t="s">
        <v>93</v>
      </c>
      <c r="R610" s="40">
        <f>(M610*P610)</f>
        <v>1207.133928</v>
      </c>
      <c r="AG610" s="47">
        <f t="shared" si="68"/>
        <v>0</v>
      </c>
      <c r="AI610" s="26"/>
    </row>
    <row r="611" spans="1:35" ht="24" customHeight="1">
      <c r="A611" s="50">
        <f t="shared" si="65"/>
        <v>418</v>
      </c>
      <c r="B611" s="51" t="s">
        <v>841</v>
      </c>
      <c r="C611" s="52">
        <v>7.5</v>
      </c>
      <c r="D611" s="51" t="s">
        <v>196</v>
      </c>
      <c r="K611" s="35" t="s">
        <v>48</v>
      </c>
      <c r="M611" s="76">
        <v>0.60099999999999998</v>
      </c>
      <c r="N611" s="26" t="s">
        <v>93</v>
      </c>
      <c r="O611" s="26" t="s">
        <v>817</v>
      </c>
      <c r="P611" s="40">
        <f>(R89)</f>
        <v>8213.3829999999998</v>
      </c>
      <c r="Q611" s="26" t="s">
        <v>93</v>
      </c>
      <c r="R611" s="40">
        <f>(M611*P611)</f>
        <v>4936.2431829999996</v>
      </c>
      <c r="AG611" s="47" t="str">
        <f t="shared" si="68"/>
        <v>|</v>
      </c>
      <c r="AI611" s="26" t="s">
        <v>685</v>
      </c>
    </row>
    <row r="612" spans="1:35" ht="24" customHeight="1">
      <c r="A612" s="50">
        <f t="shared" si="65"/>
        <v>419</v>
      </c>
      <c r="B612" s="51" t="s">
        <v>842</v>
      </c>
      <c r="C612" s="52">
        <v>16</v>
      </c>
      <c r="D612" s="51" t="s">
        <v>196</v>
      </c>
      <c r="E612" s="28" t="s">
        <v>843</v>
      </c>
      <c r="H612" s="26" t="s">
        <v>309</v>
      </c>
      <c r="I612" s="40">
        <f>K610</f>
        <v>2183.3499999999995</v>
      </c>
      <c r="J612" s="26">
        <f>C22*0.04</f>
        <v>5.0343999999999998</v>
      </c>
      <c r="K612" s="39">
        <f>(K610+C22*0.04)</f>
        <v>2188.3843999999995</v>
      </c>
      <c r="M612" s="76">
        <v>6.35</v>
      </c>
      <c r="N612" s="26" t="s">
        <v>438</v>
      </c>
      <c r="O612" s="26" t="s">
        <v>821</v>
      </c>
      <c r="P612" s="40">
        <f>(R304)</f>
        <v>296.91696000000002</v>
      </c>
      <c r="Q612" s="26" t="s">
        <v>438</v>
      </c>
      <c r="R612" s="40">
        <f>(M612*P612)</f>
        <v>1885.4226960000001</v>
      </c>
      <c r="AG612" s="47" t="str">
        <f t="shared" si="68"/>
        <v>|</v>
      </c>
      <c r="AI612" s="26" t="s">
        <v>685</v>
      </c>
    </row>
    <row r="613" spans="1:35" ht="24" customHeight="1">
      <c r="A613" s="50">
        <f t="shared" si="65"/>
        <v>420</v>
      </c>
      <c r="B613" s="51" t="s">
        <v>844</v>
      </c>
      <c r="C613" s="49">
        <v>3030</v>
      </c>
      <c r="D613" s="51" t="s">
        <v>845</v>
      </c>
      <c r="E613" s="105">
        <v>3420</v>
      </c>
      <c r="H613" s="26" t="s">
        <v>313</v>
      </c>
      <c r="I613" s="40">
        <f>K612</f>
        <v>2188.3843999999995</v>
      </c>
      <c r="J613" s="26">
        <f>C23*0.04</f>
        <v>9.911999999999999</v>
      </c>
      <c r="K613" s="39">
        <f>(K612+C23*0.04)</f>
        <v>2198.2963999999993</v>
      </c>
      <c r="M613" s="76">
        <v>3.2000000000000001E-2</v>
      </c>
      <c r="N613" s="26" t="s">
        <v>93</v>
      </c>
      <c r="O613" s="26" t="s">
        <v>823</v>
      </c>
      <c r="P613" s="40">
        <f>(K643)</f>
        <v>9743</v>
      </c>
      <c r="Q613" s="26" t="s">
        <v>93</v>
      </c>
      <c r="R613" s="40">
        <f>(M613*P613)</f>
        <v>311.77600000000001</v>
      </c>
      <c r="AG613" s="47" t="str">
        <f t="shared" si="68"/>
        <v>|</v>
      </c>
      <c r="AI613" s="26" t="s">
        <v>685</v>
      </c>
    </row>
    <row r="614" spans="1:35" ht="24" customHeight="1">
      <c r="A614" s="50">
        <f t="shared" si="65"/>
        <v>421</v>
      </c>
      <c r="B614" s="51" t="s">
        <v>846</v>
      </c>
      <c r="C614" s="52">
        <v>805</v>
      </c>
      <c r="D614" s="51" t="s">
        <v>845</v>
      </c>
      <c r="H614" s="26" t="s">
        <v>316</v>
      </c>
      <c r="I614" s="40">
        <f>K613</f>
        <v>2198.2963999999993</v>
      </c>
      <c r="J614" s="26">
        <f>C23*0.04</f>
        <v>9.911999999999999</v>
      </c>
      <c r="K614" s="39">
        <f>(K613+C24*0.04)</f>
        <v>2208.2083999999991</v>
      </c>
      <c r="O614" s="26" t="s">
        <v>825</v>
      </c>
      <c r="R614" s="26" t="s">
        <v>27</v>
      </c>
      <c r="AG614" s="47" t="str">
        <f t="shared" si="68"/>
        <v>|</v>
      </c>
      <c r="AI614" s="26" t="s">
        <v>685</v>
      </c>
    </row>
    <row r="615" spans="1:35" ht="24" customHeight="1">
      <c r="A615" s="50">
        <f t="shared" si="65"/>
        <v>422</v>
      </c>
      <c r="B615" s="51" t="s">
        <v>847</v>
      </c>
      <c r="C615" s="52">
        <f>204+53</f>
        <v>257</v>
      </c>
      <c r="D615" s="51" t="s">
        <v>845</v>
      </c>
      <c r="H615" s="26" t="s">
        <v>318</v>
      </c>
      <c r="I615" s="40">
        <f>K614</f>
        <v>2208.2083999999991</v>
      </c>
      <c r="J615" s="26">
        <f>C23*0.04</f>
        <v>9.911999999999999</v>
      </c>
      <c r="K615" s="39">
        <f>(K614+C24*0.04)</f>
        <v>2218.1203999999989</v>
      </c>
      <c r="N615" s="26" t="s">
        <v>106</v>
      </c>
      <c r="O615" s="26" t="s">
        <v>827</v>
      </c>
      <c r="Q615" s="26" t="s">
        <v>106</v>
      </c>
      <c r="R615" s="40">
        <v>2.1</v>
      </c>
      <c r="AG615" s="47" t="str">
        <f t="shared" si="68"/>
        <v>|</v>
      </c>
      <c r="AI615" s="26" t="s">
        <v>685</v>
      </c>
    </row>
    <row r="616" spans="1:35" ht="24" customHeight="1">
      <c r="A616" s="50">
        <f t="shared" si="65"/>
        <v>423</v>
      </c>
      <c r="B616" s="51" t="s">
        <v>848</v>
      </c>
      <c r="C616" s="52">
        <v>53</v>
      </c>
      <c r="D616" s="51" t="s">
        <v>196</v>
      </c>
      <c r="H616" s="26" t="s">
        <v>707</v>
      </c>
      <c r="I616" s="40">
        <f>K615</f>
        <v>2218.1203999999989</v>
      </c>
      <c r="J616" s="26">
        <f>C24*0.04</f>
        <v>9.911999999999999</v>
      </c>
      <c r="K616" s="39">
        <f>(K615+C24*0.04)</f>
        <v>2228.0323999999987</v>
      </c>
      <c r="R616" s="35" t="s">
        <v>48</v>
      </c>
      <c r="AG616" s="47" t="str">
        <f t="shared" si="68"/>
        <v>|</v>
      </c>
      <c r="AI616" s="26" t="s">
        <v>685</v>
      </c>
    </row>
    <row r="617" spans="1:35" ht="24" customHeight="1">
      <c r="A617" s="50">
        <f t="shared" si="65"/>
        <v>424</v>
      </c>
      <c r="B617" s="51" t="s">
        <v>849</v>
      </c>
      <c r="C617" s="49">
        <v>1640</v>
      </c>
      <c r="D617" s="51" t="s">
        <v>196</v>
      </c>
      <c r="F617" s="132">
        <v>15.1</v>
      </c>
      <c r="G617" s="38" t="s">
        <v>850</v>
      </c>
      <c r="H617" s="26" t="s">
        <v>851</v>
      </c>
      <c r="O617" s="26" t="s">
        <v>830</v>
      </c>
      <c r="R617" s="40">
        <f>SUM(R608:R615)</f>
        <v>8666.2111403333329</v>
      </c>
      <c r="AG617" s="47" t="str">
        <f t="shared" si="68"/>
        <v>|</v>
      </c>
      <c r="AI617" s="26" t="s">
        <v>685</v>
      </c>
    </row>
    <row r="618" spans="1:35" ht="24" customHeight="1">
      <c r="A618" s="50">
        <f t="shared" si="65"/>
        <v>425</v>
      </c>
      <c r="B618" s="51" t="s">
        <v>852</v>
      </c>
      <c r="C618" s="52">
        <v>196</v>
      </c>
      <c r="D618" s="51" t="s">
        <v>196</v>
      </c>
      <c r="H618" s="26" t="s">
        <v>786</v>
      </c>
      <c r="R618" s="35" t="s">
        <v>48</v>
      </c>
      <c r="AG618" s="47" t="str">
        <f t="shared" si="68"/>
        <v>|</v>
      </c>
      <c r="AI618" s="26" t="s">
        <v>685</v>
      </c>
    </row>
    <row r="619" spans="1:35" ht="24" customHeight="1">
      <c r="A619" s="50">
        <f t="shared" si="65"/>
        <v>426</v>
      </c>
      <c r="B619" s="51" t="s">
        <v>853</v>
      </c>
      <c r="C619" s="49">
        <v>922</v>
      </c>
      <c r="D619" s="51" t="s">
        <v>196</v>
      </c>
      <c r="F619" s="40">
        <v>10</v>
      </c>
      <c r="G619" s="38" t="s">
        <v>788</v>
      </c>
      <c r="H619" s="26" t="s">
        <v>854</v>
      </c>
      <c r="I619" s="48">
        <f>C751</f>
        <v>366</v>
      </c>
      <c r="J619" s="26" t="s">
        <v>788</v>
      </c>
      <c r="K619" s="40">
        <f>(F619*I619)</f>
        <v>3660</v>
      </c>
      <c r="N619" s="26" t="s">
        <v>67</v>
      </c>
      <c r="O619" s="26" t="s">
        <v>855</v>
      </c>
      <c r="AG619" s="47" t="str">
        <f t="shared" si="68"/>
        <v>|</v>
      </c>
      <c r="AI619" s="26" t="s">
        <v>685</v>
      </c>
    </row>
    <row r="620" spans="1:35" ht="24" customHeight="1">
      <c r="A620" s="50">
        <f t="shared" si="65"/>
        <v>427</v>
      </c>
      <c r="B620" s="51" t="s">
        <v>856</v>
      </c>
      <c r="C620" s="73">
        <v>193.05</v>
      </c>
      <c r="D620" s="109">
        <v>120.54</v>
      </c>
      <c r="F620" s="40">
        <v>0.12</v>
      </c>
      <c r="G620" s="38" t="s">
        <v>93</v>
      </c>
      <c r="H620" s="26" t="s">
        <v>857</v>
      </c>
      <c r="I620" s="40">
        <f>K32</f>
        <v>5671.64</v>
      </c>
      <c r="J620" s="26" t="s">
        <v>93</v>
      </c>
      <c r="K620" s="40">
        <f>(F620*I620)</f>
        <v>680.59680000000003</v>
      </c>
      <c r="O620" s="26" t="s">
        <v>858</v>
      </c>
      <c r="AG620" s="47" t="str">
        <f t="shared" si="68"/>
        <v>|</v>
      </c>
      <c r="AI620" s="26" t="s">
        <v>685</v>
      </c>
    </row>
    <row r="621" spans="1:35" ht="24" customHeight="1">
      <c r="A621" s="50">
        <f t="shared" si="65"/>
        <v>428</v>
      </c>
      <c r="B621" s="51" t="s">
        <v>859</v>
      </c>
      <c r="C621" s="133">
        <v>115.85</v>
      </c>
      <c r="D621" s="134" t="s">
        <v>244</v>
      </c>
      <c r="E621" s="135"/>
      <c r="F621" s="40">
        <v>1</v>
      </c>
      <c r="G621" s="38" t="s">
        <v>791</v>
      </c>
      <c r="H621" s="26" t="s">
        <v>792</v>
      </c>
      <c r="I621" s="40">
        <f>C10</f>
        <v>1076.5999999999999</v>
      </c>
      <c r="J621" s="26" t="s">
        <v>793</v>
      </c>
      <c r="K621" s="40">
        <f>(F621*I621)</f>
        <v>1076.5999999999999</v>
      </c>
      <c r="O621" s="35" t="s">
        <v>48</v>
      </c>
      <c r="AG621" s="47" t="str">
        <f t="shared" si="68"/>
        <v>|</v>
      </c>
      <c r="AI621" s="26" t="s">
        <v>685</v>
      </c>
    </row>
    <row r="622" spans="1:35" ht="24" customHeight="1">
      <c r="A622" s="50">
        <f t="shared" si="65"/>
        <v>429</v>
      </c>
      <c r="B622" s="51" t="s">
        <v>860</v>
      </c>
      <c r="C622" s="136"/>
      <c r="D622" s="134" t="s">
        <v>244</v>
      </c>
      <c r="E622" s="135"/>
      <c r="F622" s="40">
        <v>1</v>
      </c>
      <c r="G622" s="38" t="s">
        <v>791</v>
      </c>
      <c r="H622" s="26" t="s">
        <v>795</v>
      </c>
      <c r="I622" s="40">
        <f>C12</f>
        <v>702.8</v>
      </c>
      <c r="J622" s="26" t="s">
        <v>793</v>
      </c>
      <c r="K622" s="40">
        <f>(F622*I622)</f>
        <v>702.8</v>
      </c>
      <c r="M622" s="40">
        <v>10.37</v>
      </c>
      <c r="N622" s="26" t="s">
        <v>93</v>
      </c>
      <c r="O622" s="26" t="s">
        <v>861</v>
      </c>
      <c r="P622" s="40">
        <f>(C61*2)</f>
        <v>235.2</v>
      </c>
      <c r="Q622" s="26" t="s">
        <v>93</v>
      </c>
      <c r="R622" s="40">
        <f t="shared" ref="R622:R630" si="69">(M622*P622)</f>
        <v>2439.0239999999999</v>
      </c>
      <c r="AG622" s="47" t="str">
        <f t="shared" si="68"/>
        <v>|</v>
      </c>
      <c r="AI622" s="26" t="s">
        <v>685</v>
      </c>
    </row>
    <row r="623" spans="1:35" ht="24" customHeight="1">
      <c r="A623" s="50">
        <f t="shared" si="65"/>
        <v>430</v>
      </c>
      <c r="B623" s="51" t="s">
        <v>862</v>
      </c>
      <c r="C623" s="133">
        <v>76</v>
      </c>
      <c r="D623" s="134" t="s">
        <v>105</v>
      </c>
      <c r="E623" s="135"/>
      <c r="G623" s="38" t="s">
        <v>106</v>
      </c>
      <c r="H623" s="26" t="s">
        <v>797</v>
      </c>
      <c r="J623" s="26" t="s">
        <v>106</v>
      </c>
      <c r="K623" s="40">
        <v>0.33</v>
      </c>
      <c r="M623" s="40">
        <v>0.65</v>
      </c>
      <c r="N623" s="26" t="s">
        <v>93</v>
      </c>
      <c r="O623" s="26" t="s">
        <v>863</v>
      </c>
      <c r="P623" s="40">
        <f>R60</f>
        <v>5588.5829999999996</v>
      </c>
      <c r="Q623" s="26" t="s">
        <v>93</v>
      </c>
      <c r="R623" s="40">
        <f t="shared" si="69"/>
        <v>3632.5789500000001</v>
      </c>
      <c r="AG623" s="47" t="str">
        <f t="shared" si="68"/>
        <v>|</v>
      </c>
      <c r="AI623" s="26" t="s">
        <v>685</v>
      </c>
    </row>
    <row r="624" spans="1:35" ht="24" customHeight="1">
      <c r="A624" s="50">
        <f t="shared" si="65"/>
        <v>431</v>
      </c>
      <c r="B624" s="51" t="s">
        <v>864</v>
      </c>
      <c r="C624" s="133">
        <v>45</v>
      </c>
      <c r="D624" s="134" t="s">
        <v>105</v>
      </c>
      <c r="E624" s="135"/>
      <c r="H624" s="26" t="s">
        <v>799</v>
      </c>
      <c r="K624" s="35" t="s">
        <v>48</v>
      </c>
      <c r="M624" s="40">
        <v>1.1399999999999999</v>
      </c>
      <c r="N624" s="26" t="s">
        <v>93</v>
      </c>
      <c r="O624" s="26" t="s">
        <v>865</v>
      </c>
      <c r="P624" s="40">
        <f>K321</f>
        <v>7552.1079999999984</v>
      </c>
      <c r="Q624" s="26" t="s">
        <v>93</v>
      </c>
      <c r="R624" s="40">
        <f t="shared" si="69"/>
        <v>8609.4031199999972</v>
      </c>
      <c r="AG624" s="47" t="str">
        <f t="shared" si="68"/>
        <v>|</v>
      </c>
      <c r="AI624" s="26" t="s">
        <v>685</v>
      </c>
    </row>
    <row r="625" spans="1:35" ht="24" customHeight="1">
      <c r="A625" s="50">
        <f t="shared" si="65"/>
        <v>432</v>
      </c>
      <c r="B625" s="51" t="s">
        <v>866</v>
      </c>
      <c r="C625" s="137">
        <v>33</v>
      </c>
      <c r="D625" s="51" t="s">
        <v>105</v>
      </c>
      <c r="H625" s="27" t="s">
        <v>867</v>
      </c>
      <c r="K625" s="40">
        <f>SUM(K619:K623)</f>
        <v>6120.3267999999998</v>
      </c>
      <c r="M625" s="40">
        <v>0.85</v>
      </c>
      <c r="N625" s="26" t="s">
        <v>93</v>
      </c>
      <c r="O625" s="26" t="s">
        <v>868</v>
      </c>
      <c r="P625" s="40">
        <f>K321-K312/10</f>
        <v>6412.5979999999981</v>
      </c>
      <c r="Q625" s="26" t="s">
        <v>93</v>
      </c>
      <c r="R625" s="40">
        <f t="shared" si="69"/>
        <v>5450.7082999999984</v>
      </c>
      <c r="AG625" s="47">
        <f t="shared" si="68"/>
        <v>0</v>
      </c>
      <c r="AI625" s="26"/>
    </row>
    <row r="626" spans="1:35" ht="24" customHeight="1">
      <c r="A626" s="50">
        <f t="shared" si="65"/>
        <v>433</v>
      </c>
      <c r="B626" s="51" t="s">
        <v>869</v>
      </c>
      <c r="C626" s="49">
        <v>71</v>
      </c>
      <c r="D626" s="51" t="s">
        <v>105</v>
      </c>
      <c r="K626" s="35" t="s">
        <v>48</v>
      </c>
      <c r="M626" s="40">
        <v>0.98</v>
      </c>
      <c r="N626" s="26" t="s">
        <v>93</v>
      </c>
      <c r="O626" s="26" t="s">
        <v>870</v>
      </c>
      <c r="P626" s="40">
        <f>(C73)</f>
        <v>2923.8</v>
      </c>
      <c r="Q626" s="26" t="s">
        <v>93</v>
      </c>
      <c r="R626" s="40">
        <f t="shared" si="69"/>
        <v>2865.3240000000001</v>
      </c>
      <c r="AG626" s="47" t="str">
        <f t="shared" si="68"/>
        <v>|</v>
      </c>
      <c r="AI626" s="26" t="s">
        <v>685</v>
      </c>
    </row>
    <row r="627" spans="1:35" ht="24" customHeight="1">
      <c r="A627" s="50">
        <f t="shared" si="65"/>
        <v>434</v>
      </c>
      <c r="B627" s="51" t="s">
        <v>871</v>
      </c>
      <c r="C627" s="52">
        <v>36.520000000000003</v>
      </c>
      <c r="D627" s="51" t="s">
        <v>105</v>
      </c>
      <c r="H627" s="27" t="s">
        <v>872</v>
      </c>
      <c r="K627" s="40">
        <f>K625/10</f>
        <v>612.03268000000003</v>
      </c>
      <c r="M627" s="40">
        <v>2.68</v>
      </c>
      <c r="N627" s="26" t="s">
        <v>93</v>
      </c>
      <c r="O627" s="26" t="s">
        <v>319</v>
      </c>
      <c r="P627" s="40">
        <f>(C79)</f>
        <v>2765.84</v>
      </c>
      <c r="Q627" s="26" t="s">
        <v>93</v>
      </c>
      <c r="R627" s="40">
        <f t="shared" si="69"/>
        <v>7412.4512000000004</v>
      </c>
      <c r="AG627" s="47" t="str">
        <f t="shared" si="68"/>
        <v>|</v>
      </c>
      <c r="AI627" s="26" t="s">
        <v>685</v>
      </c>
    </row>
    <row r="628" spans="1:35" ht="24" customHeight="1">
      <c r="A628" s="50">
        <f t="shared" si="65"/>
        <v>435</v>
      </c>
      <c r="B628" s="51" t="s">
        <v>873</v>
      </c>
      <c r="C628" s="66"/>
      <c r="D628" s="51" t="s">
        <v>105</v>
      </c>
      <c r="H628" s="26" t="s">
        <v>309</v>
      </c>
      <c r="I628" s="28">
        <f>K627</f>
        <v>612.03268000000003</v>
      </c>
      <c r="J628" s="31">
        <f>C22*0.02</f>
        <v>2.5171999999999999</v>
      </c>
      <c r="K628" s="39">
        <f>I628+J628</f>
        <v>614.54988000000003</v>
      </c>
      <c r="M628" s="40">
        <v>7.24</v>
      </c>
      <c r="N628" s="26" t="s">
        <v>438</v>
      </c>
      <c r="O628" s="26" t="s">
        <v>874</v>
      </c>
      <c r="P628" s="40">
        <f>(K1400)</f>
        <v>281.32656000000003</v>
      </c>
      <c r="Q628" s="26" t="s">
        <v>438</v>
      </c>
      <c r="R628" s="40">
        <f t="shared" si="69"/>
        <v>2036.8042944000003</v>
      </c>
      <c r="AG628" s="47" t="str">
        <f t="shared" si="68"/>
        <v>|</v>
      </c>
      <c r="AI628" s="26" t="s">
        <v>685</v>
      </c>
    </row>
    <row r="629" spans="1:35" ht="24" customHeight="1">
      <c r="A629" s="50">
        <f t="shared" si="65"/>
        <v>436</v>
      </c>
      <c r="B629" s="51" t="s">
        <v>875</v>
      </c>
      <c r="C629" s="49">
        <v>88.6</v>
      </c>
      <c r="D629" s="52">
        <v>93.72</v>
      </c>
      <c r="H629" s="26" t="s">
        <v>313</v>
      </c>
      <c r="I629" s="28">
        <f>K628</f>
        <v>614.54988000000003</v>
      </c>
      <c r="J629" s="31">
        <f>C23*0.02</f>
        <v>4.9559999999999995</v>
      </c>
      <c r="K629" s="39">
        <f>I629+J629</f>
        <v>619.50588000000005</v>
      </c>
      <c r="M629" s="40">
        <v>1</v>
      </c>
      <c r="N629" s="26" t="s">
        <v>105</v>
      </c>
      <c r="O629" s="26" t="s">
        <v>876</v>
      </c>
      <c r="P629" s="40">
        <f>(C203)</f>
        <v>125.6</v>
      </c>
      <c r="Q629" s="26" t="s">
        <v>105</v>
      </c>
      <c r="R629" s="40">
        <f t="shared" si="69"/>
        <v>125.6</v>
      </c>
      <c r="AG629" s="47" t="str">
        <f t="shared" si="68"/>
        <v>|</v>
      </c>
      <c r="AI629" s="26" t="s">
        <v>685</v>
      </c>
    </row>
    <row r="630" spans="1:35" ht="24" customHeight="1">
      <c r="A630" s="50">
        <f t="shared" si="65"/>
        <v>437</v>
      </c>
      <c r="B630" s="51" t="s">
        <v>877</v>
      </c>
      <c r="C630" s="49">
        <v>59.2</v>
      </c>
      <c r="D630" s="51" t="s">
        <v>105</v>
      </c>
      <c r="H630" s="26" t="s">
        <v>316</v>
      </c>
      <c r="I630" s="28">
        <f>K629</f>
        <v>619.50588000000005</v>
      </c>
      <c r="J630" s="31">
        <f>J629</f>
        <v>4.9559999999999995</v>
      </c>
      <c r="K630" s="39">
        <f>I630+J630</f>
        <v>624.46188000000006</v>
      </c>
      <c r="M630" s="76">
        <v>0.13600000000000001</v>
      </c>
      <c r="N630" s="26" t="s">
        <v>93</v>
      </c>
      <c r="O630" s="26" t="s">
        <v>878</v>
      </c>
      <c r="P630" s="40">
        <f>(K643)</f>
        <v>9743</v>
      </c>
      <c r="Q630" s="26" t="s">
        <v>93</v>
      </c>
      <c r="R630" s="40">
        <f t="shared" si="69"/>
        <v>1325.048</v>
      </c>
      <c r="AG630" s="47" t="str">
        <f t="shared" si="68"/>
        <v>|</v>
      </c>
      <c r="AI630" s="26" t="s">
        <v>685</v>
      </c>
    </row>
    <row r="631" spans="1:35" ht="24" customHeight="1">
      <c r="A631" s="50">
        <f t="shared" si="65"/>
        <v>438</v>
      </c>
      <c r="B631" s="51" t="s">
        <v>879</v>
      </c>
      <c r="C631" s="137">
        <v>30.25</v>
      </c>
      <c r="D631" s="51" t="s">
        <v>105</v>
      </c>
      <c r="H631" s="26" t="s">
        <v>318</v>
      </c>
      <c r="I631" s="28">
        <f>K630</f>
        <v>624.46188000000006</v>
      </c>
      <c r="J631" s="31">
        <f>J630</f>
        <v>4.9559999999999995</v>
      </c>
      <c r="K631" s="39">
        <f>I631+J631</f>
        <v>629.41788000000008</v>
      </c>
      <c r="O631" s="26" t="s">
        <v>880</v>
      </c>
      <c r="AG631" s="47" t="str">
        <f t="shared" si="68"/>
        <v>|</v>
      </c>
      <c r="AI631" s="26" t="s">
        <v>685</v>
      </c>
    </row>
    <row r="632" spans="1:35" ht="24" customHeight="1">
      <c r="A632" s="50">
        <f t="shared" si="65"/>
        <v>439</v>
      </c>
      <c r="B632" s="51" t="s">
        <v>881</v>
      </c>
      <c r="C632" s="49">
        <v>142.19999999999999</v>
      </c>
      <c r="D632" s="51" t="s">
        <v>105</v>
      </c>
      <c r="H632" s="26" t="s">
        <v>707</v>
      </c>
      <c r="I632" s="28">
        <f>K631</f>
        <v>629.41788000000008</v>
      </c>
      <c r="J632" s="31">
        <f>J631</f>
        <v>4.9559999999999995</v>
      </c>
      <c r="K632" s="39">
        <f>I632+J632</f>
        <v>634.3738800000001</v>
      </c>
      <c r="N632" s="26" t="s">
        <v>106</v>
      </c>
      <c r="O632" s="26" t="s">
        <v>827</v>
      </c>
      <c r="Q632" s="26" t="s">
        <v>106</v>
      </c>
      <c r="R632" s="40">
        <v>2.2400000000000002</v>
      </c>
      <c r="AG632" s="47" t="str">
        <f t="shared" si="68"/>
        <v>|</v>
      </c>
      <c r="AI632" s="26" t="s">
        <v>685</v>
      </c>
    </row>
    <row r="633" spans="1:35" ht="24" customHeight="1">
      <c r="A633" s="50">
        <f t="shared" si="65"/>
        <v>440</v>
      </c>
      <c r="B633" s="51" t="s">
        <v>882</v>
      </c>
      <c r="C633" s="49">
        <v>88.6</v>
      </c>
      <c r="D633" s="51" t="s">
        <v>105</v>
      </c>
      <c r="F633" s="27" t="s">
        <v>675</v>
      </c>
      <c r="G633" s="38" t="s">
        <v>67</v>
      </c>
      <c r="H633" s="26" t="s">
        <v>676</v>
      </c>
      <c r="R633" s="35" t="s">
        <v>48</v>
      </c>
      <c r="AG633" s="47" t="str">
        <f t="shared" si="68"/>
        <v>|</v>
      </c>
      <c r="AI633" s="26" t="s">
        <v>685</v>
      </c>
    </row>
    <row r="634" spans="1:35" ht="24" customHeight="1">
      <c r="A634" s="50">
        <f t="shared" si="65"/>
        <v>441</v>
      </c>
      <c r="B634" s="51" t="s">
        <v>883</v>
      </c>
      <c r="C634" s="66"/>
      <c r="D634" s="51" t="s">
        <v>105</v>
      </c>
      <c r="H634" s="26" t="s">
        <v>678</v>
      </c>
      <c r="O634" s="26" t="s">
        <v>830</v>
      </c>
      <c r="R634" s="40">
        <f>SUM(R622:R632)</f>
        <v>33899.181864399994</v>
      </c>
      <c r="AG634" s="47" t="str">
        <f t="shared" si="68"/>
        <v>|</v>
      </c>
      <c r="AI634" s="26" t="s">
        <v>685</v>
      </c>
    </row>
    <row r="635" spans="1:35" ht="24" customHeight="1">
      <c r="A635" s="50">
        <f t="shared" si="65"/>
        <v>442</v>
      </c>
      <c r="B635" s="51" t="s">
        <v>884</v>
      </c>
      <c r="C635" s="49">
        <v>166</v>
      </c>
      <c r="D635" s="51" t="s">
        <v>105</v>
      </c>
      <c r="H635" s="26" t="s">
        <v>885</v>
      </c>
      <c r="R635" s="35" t="s">
        <v>48</v>
      </c>
      <c r="AG635" s="47" t="str">
        <f t="shared" si="68"/>
        <v>|</v>
      </c>
      <c r="AI635" s="26" t="s">
        <v>685</v>
      </c>
    </row>
    <row r="636" spans="1:35" ht="24" customHeight="1">
      <c r="A636" s="50">
        <f t="shared" si="65"/>
        <v>443</v>
      </c>
      <c r="B636" s="51" t="s">
        <v>886</v>
      </c>
      <c r="C636" s="49">
        <v>106.6</v>
      </c>
      <c r="D636" s="51" t="s">
        <v>105</v>
      </c>
      <c r="H636" s="35" t="s">
        <v>48</v>
      </c>
      <c r="N636" s="26" t="s">
        <v>67</v>
      </c>
      <c r="O636" s="26" t="s">
        <v>887</v>
      </c>
      <c r="AG636" s="47" t="str">
        <f t="shared" si="68"/>
        <v>|</v>
      </c>
      <c r="AI636" s="26" t="s">
        <v>685</v>
      </c>
    </row>
    <row r="637" spans="1:35" ht="24" customHeight="1">
      <c r="A637" s="66"/>
      <c r="B637" s="66"/>
      <c r="C637" s="66"/>
      <c r="D637" s="66"/>
      <c r="F637" s="40">
        <v>0.01</v>
      </c>
      <c r="G637" s="38" t="s">
        <v>93</v>
      </c>
      <c r="H637" s="26" t="s">
        <v>888</v>
      </c>
      <c r="I637" s="40">
        <f>(K280)</f>
        <v>9627.887999999999</v>
      </c>
      <c r="J637" s="26" t="s">
        <v>93</v>
      </c>
      <c r="K637" s="40">
        <f>(F637*I637)</f>
        <v>96.278879999999987</v>
      </c>
      <c r="AG637" s="47" t="str">
        <f t="shared" si="68"/>
        <v>|</v>
      </c>
      <c r="AI637" s="26" t="s">
        <v>685</v>
      </c>
    </row>
    <row r="638" spans="1:35" ht="24" customHeight="1">
      <c r="A638" s="50">
        <f>(A636+1)</f>
        <v>444</v>
      </c>
      <c r="B638" s="51" t="s">
        <v>889</v>
      </c>
      <c r="C638" s="66"/>
      <c r="D638" s="51" t="s">
        <v>105</v>
      </c>
      <c r="F638" s="40">
        <v>0.01</v>
      </c>
      <c r="G638" s="38" t="s">
        <v>93</v>
      </c>
      <c r="H638" s="26" t="s">
        <v>687</v>
      </c>
      <c r="J638" s="26" t="s">
        <v>106</v>
      </c>
      <c r="K638" s="40">
        <v>1.1499999999999999</v>
      </c>
      <c r="O638" s="26" t="s">
        <v>890</v>
      </c>
      <c r="S638" s="27" t="s">
        <v>891</v>
      </c>
      <c r="T638" s="38" t="s">
        <v>67</v>
      </c>
      <c r="U638" s="30" t="s">
        <v>748</v>
      </c>
      <c r="W638" s="31"/>
      <c r="AC638" s="27" t="s">
        <v>891</v>
      </c>
      <c r="AD638" s="38" t="s">
        <v>67</v>
      </c>
      <c r="AE638" s="30" t="s">
        <v>749</v>
      </c>
      <c r="AG638" s="31"/>
    </row>
    <row r="639" spans="1:35" ht="24" customHeight="1">
      <c r="A639" s="50">
        <f t="shared" ref="A639:A702" si="70">(A638+1)</f>
        <v>445</v>
      </c>
      <c r="B639" s="51" t="s">
        <v>892</v>
      </c>
      <c r="C639" s="49">
        <v>254</v>
      </c>
      <c r="D639" s="51" t="s">
        <v>105</v>
      </c>
      <c r="H639" s="26" t="s">
        <v>691</v>
      </c>
      <c r="O639" s="35" t="s">
        <v>48</v>
      </c>
      <c r="S639" s="28"/>
      <c r="T639" s="29"/>
      <c r="U639" s="26" t="s">
        <v>893</v>
      </c>
      <c r="W639" s="31"/>
      <c r="AD639" s="29"/>
      <c r="AE639" s="26" t="s">
        <v>893</v>
      </c>
      <c r="AG639" s="31"/>
    </row>
    <row r="640" spans="1:35" ht="24" customHeight="1">
      <c r="A640" s="50">
        <f t="shared" si="70"/>
        <v>446</v>
      </c>
      <c r="B640" s="51" t="s">
        <v>894</v>
      </c>
      <c r="C640" s="49">
        <v>177</v>
      </c>
      <c r="D640" s="51" t="s">
        <v>105</v>
      </c>
      <c r="K640" s="35" t="s">
        <v>48</v>
      </c>
      <c r="M640" s="40">
        <v>3</v>
      </c>
      <c r="N640" s="26" t="s">
        <v>93</v>
      </c>
      <c r="O640" s="26" t="s">
        <v>895</v>
      </c>
      <c r="P640" s="40">
        <f>(C61*2)</f>
        <v>235.2</v>
      </c>
      <c r="Q640" s="26" t="s">
        <v>93</v>
      </c>
      <c r="R640" s="40">
        <f>(M640*P640)</f>
        <v>705.59999999999991</v>
      </c>
      <c r="S640" s="28"/>
      <c r="T640" s="29"/>
      <c r="U640" s="26" t="s">
        <v>896</v>
      </c>
      <c r="W640" s="31"/>
      <c r="AD640" s="29"/>
      <c r="AE640" s="26" t="s">
        <v>896</v>
      </c>
      <c r="AG640" s="31"/>
    </row>
    <row r="641" spans="1:34" ht="24" customHeight="1">
      <c r="A641" s="50">
        <f t="shared" si="70"/>
        <v>447</v>
      </c>
      <c r="B641" s="51" t="s">
        <v>897</v>
      </c>
      <c r="C641" s="66"/>
      <c r="D641" s="51" t="s">
        <v>105</v>
      </c>
      <c r="H641" s="26" t="s">
        <v>692</v>
      </c>
      <c r="K641" s="40">
        <f>SUM(K637:K639)</f>
        <v>97.428879999999992</v>
      </c>
      <c r="M641" s="40">
        <v>2.4</v>
      </c>
      <c r="N641" s="26" t="s">
        <v>93</v>
      </c>
      <c r="O641" s="26" t="s">
        <v>898</v>
      </c>
      <c r="P641" s="40">
        <f>(C81)</f>
        <v>1756.85</v>
      </c>
      <c r="Q641" s="26" t="s">
        <v>93</v>
      </c>
      <c r="R641" s="40">
        <f>(M641*P641)</f>
        <v>4216.4399999999996</v>
      </c>
      <c r="S641" s="28"/>
      <c r="T641" s="29"/>
      <c r="U641" s="35" t="s">
        <v>48</v>
      </c>
      <c r="W641" s="31"/>
      <c r="AD641" s="29"/>
      <c r="AE641" s="35" t="s">
        <v>48</v>
      </c>
      <c r="AG641" s="31"/>
    </row>
    <row r="642" spans="1:34" ht="24" customHeight="1">
      <c r="A642" s="50">
        <f t="shared" si="70"/>
        <v>448</v>
      </c>
      <c r="B642" s="51" t="s">
        <v>899</v>
      </c>
      <c r="C642" s="49">
        <v>136</v>
      </c>
      <c r="D642" s="51" t="s">
        <v>105</v>
      </c>
      <c r="K642" s="35" t="s">
        <v>48</v>
      </c>
      <c r="M642" s="40">
        <v>5</v>
      </c>
      <c r="N642" s="26" t="s">
        <v>105</v>
      </c>
      <c r="O642" s="26" t="s">
        <v>900</v>
      </c>
      <c r="P642" s="40">
        <f>(C204)</f>
        <v>62.2</v>
      </c>
      <c r="Q642" s="26" t="s">
        <v>105</v>
      </c>
      <c r="R642" s="40">
        <f>(M642*P642)</f>
        <v>311</v>
      </c>
      <c r="S642" s="76">
        <v>8.3000000000000007</v>
      </c>
      <c r="T642" s="38" t="s">
        <v>93</v>
      </c>
      <c r="U642" s="26" t="s">
        <v>901</v>
      </c>
      <c r="V642" s="40">
        <f>AE11</f>
        <v>2252.4699999999998</v>
      </c>
      <c r="W642" s="26" t="s">
        <v>93</v>
      </c>
      <c r="X642" s="40">
        <f t="shared" ref="X642:X648" si="71">S642*V642</f>
        <v>18695.501</v>
      </c>
      <c r="Y642" s="40"/>
      <c r="AC642" s="76">
        <v>8.3000000000000007</v>
      </c>
      <c r="AD642" s="38" t="s">
        <v>93</v>
      </c>
      <c r="AE642" s="26" t="s">
        <v>901</v>
      </c>
      <c r="AF642" s="40">
        <f>V642</f>
        <v>2252.4699999999998</v>
      </c>
      <c r="AG642" s="26" t="s">
        <v>93</v>
      </c>
      <c r="AH642" s="40">
        <f t="shared" ref="AH642:AH648" si="72">AC642*AF642</f>
        <v>18695.501</v>
      </c>
    </row>
    <row r="643" spans="1:34" ht="24" customHeight="1">
      <c r="A643" s="50">
        <f t="shared" si="70"/>
        <v>449</v>
      </c>
      <c r="B643" s="51" t="s">
        <v>902</v>
      </c>
      <c r="C643" s="49">
        <v>82.8</v>
      </c>
      <c r="D643" s="51" t="s">
        <v>105</v>
      </c>
      <c r="H643" s="26" t="s">
        <v>201</v>
      </c>
      <c r="K643" s="40">
        <f>ROUND(K641*100,0)</f>
        <v>9743</v>
      </c>
      <c r="O643" s="26" t="s">
        <v>107</v>
      </c>
      <c r="Q643" s="26" t="s">
        <v>106</v>
      </c>
      <c r="R643" s="40">
        <v>0.08</v>
      </c>
      <c r="S643" s="76">
        <v>3.25</v>
      </c>
      <c r="T643" s="38" t="s">
        <v>84</v>
      </c>
      <c r="U643" s="26" t="s">
        <v>85</v>
      </c>
      <c r="V643" s="40">
        <f>I808</f>
        <v>5800</v>
      </c>
      <c r="W643" s="26" t="s">
        <v>84</v>
      </c>
      <c r="X643" s="40">
        <f t="shared" si="71"/>
        <v>18850</v>
      </c>
      <c r="Y643" s="40"/>
      <c r="AC643" s="76">
        <v>4</v>
      </c>
      <c r="AD643" s="38" t="s">
        <v>84</v>
      </c>
      <c r="AE643" s="26" t="s">
        <v>85</v>
      </c>
      <c r="AF643" s="40">
        <f t="shared" ref="AF643:AF648" si="73">V643</f>
        <v>5800</v>
      </c>
      <c r="AG643" s="26" t="s">
        <v>84</v>
      </c>
      <c r="AH643" s="40">
        <f t="shared" si="72"/>
        <v>23200</v>
      </c>
    </row>
    <row r="644" spans="1:34" ht="24" customHeight="1">
      <c r="A644" s="50">
        <f t="shared" si="70"/>
        <v>450</v>
      </c>
      <c r="B644" s="51" t="s">
        <v>903</v>
      </c>
      <c r="C644" s="66"/>
      <c r="D644" s="51" t="s">
        <v>105</v>
      </c>
      <c r="F644" s="26" t="s">
        <v>27</v>
      </c>
      <c r="R644" s="35" t="s">
        <v>48</v>
      </c>
      <c r="S644" s="76">
        <v>4.79</v>
      </c>
      <c r="T644" s="38" t="s">
        <v>93</v>
      </c>
      <c r="U644" s="26" t="s">
        <v>94</v>
      </c>
      <c r="V644" s="40">
        <f>I809</f>
        <v>2765.84</v>
      </c>
      <c r="W644" s="26" t="s">
        <v>93</v>
      </c>
      <c r="X644" s="40">
        <f t="shared" si="71"/>
        <v>13248.373600000001</v>
      </c>
      <c r="Y644" s="40"/>
      <c r="AC644" s="76">
        <v>4.79</v>
      </c>
      <c r="AD644" s="38" t="s">
        <v>93</v>
      </c>
      <c r="AE644" s="26" t="s">
        <v>94</v>
      </c>
      <c r="AF644" s="40">
        <f t="shared" si="73"/>
        <v>2765.84</v>
      </c>
      <c r="AG644" s="26" t="s">
        <v>93</v>
      </c>
      <c r="AH644" s="40">
        <f t="shared" si="72"/>
        <v>13248.373600000001</v>
      </c>
    </row>
    <row r="645" spans="1:34" ht="24" customHeight="1">
      <c r="A645" s="50">
        <f t="shared" si="70"/>
        <v>451</v>
      </c>
      <c r="B645" s="51" t="s">
        <v>904</v>
      </c>
      <c r="C645" s="49">
        <v>159.80000000000001</v>
      </c>
      <c r="D645" s="51" t="s">
        <v>105</v>
      </c>
      <c r="K645" s="35" t="s">
        <v>41</v>
      </c>
      <c r="O645" s="26" t="s">
        <v>830</v>
      </c>
      <c r="R645" s="40">
        <f>SUM(R640:R643)</f>
        <v>5233.119999999999</v>
      </c>
      <c r="S645" s="76">
        <v>3.5</v>
      </c>
      <c r="T645" s="38" t="s">
        <v>105</v>
      </c>
      <c r="U645" s="26" t="s">
        <v>269</v>
      </c>
      <c r="V645" s="40">
        <f>C11</f>
        <v>1005.1999999999999</v>
      </c>
      <c r="W645" s="26" t="s">
        <v>105</v>
      </c>
      <c r="X645" s="40">
        <f t="shared" si="71"/>
        <v>3518.2</v>
      </c>
      <c r="Y645" s="40"/>
      <c r="AC645" s="76">
        <v>3.5</v>
      </c>
      <c r="AD645" s="38" t="s">
        <v>105</v>
      </c>
      <c r="AE645" s="26" t="s">
        <v>269</v>
      </c>
      <c r="AF645" s="40">
        <f t="shared" si="73"/>
        <v>1005.1999999999999</v>
      </c>
      <c r="AG645" s="26" t="s">
        <v>105</v>
      </c>
      <c r="AH645" s="40">
        <f t="shared" si="72"/>
        <v>3518.2</v>
      </c>
    </row>
    <row r="646" spans="1:34" ht="24" customHeight="1">
      <c r="A646" s="50">
        <f t="shared" si="70"/>
        <v>452</v>
      </c>
      <c r="B646" s="51" t="s">
        <v>905</v>
      </c>
      <c r="C646" s="49">
        <v>106.6</v>
      </c>
      <c r="D646" s="51" t="s">
        <v>105</v>
      </c>
      <c r="G646" s="38" t="s">
        <v>386</v>
      </c>
      <c r="H646" s="26" t="s">
        <v>693</v>
      </c>
      <c r="R646" s="35" t="s">
        <v>48</v>
      </c>
      <c r="S646" s="76">
        <v>21.2</v>
      </c>
      <c r="T646" s="38" t="s">
        <v>105</v>
      </c>
      <c r="U646" s="26" t="s">
        <v>271</v>
      </c>
      <c r="V646" s="40">
        <f>C12</f>
        <v>702.8</v>
      </c>
      <c r="W646" s="26" t="s">
        <v>105</v>
      </c>
      <c r="X646" s="40">
        <f t="shared" si="71"/>
        <v>14899.359999999999</v>
      </c>
      <c r="Y646" s="40"/>
      <c r="AC646" s="76">
        <v>21.2</v>
      </c>
      <c r="AD646" s="38" t="s">
        <v>105</v>
      </c>
      <c r="AE646" s="26" t="s">
        <v>271</v>
      </c>
      <c r="AF646" s="40">
        <f t="shared" si="73"/>
        <v>702.8</v>
      </c>
      <c r="AG646" s="26" t="s">
        <v>105</v>
      </c>
      <c r="AH646" s="40">
        <f t="shared" si="72"/>
        <v>14899.359999999999</v>
      </c>
    </row>
    <row r="647" spans="1:34" ht="24" customHeight="1">
      <c r="A647" s="50">
        <f t="shared" si="70"/>
        <v>453</v>
      </c>
      <c r="B647" s="51" t="s">
        <v>906</v>
      </c>
      <c r="C647" s="66"/>
      <c r="D647" s="51" t="s">
        <v>105</v>
      </c>
      <c r="H647" s="26" t="s">
        <v>694</v>
      </c>
      <c r="S647" s="76">
        <v>35.299999999999997</v>
      </c>
      <c r="T647" s="38" t="s">
        <v>105</v>
      </c>
      <c r="U647" s="26" t="s">
        <v>276</v>
      </c>
      <c r="V647" s="40">
        <f>C13</f>
        <v>576.79999999999995</v>
      </c>
      <c r="W647" s="26" t="s">
        <v>105</v>
      </c>
      <c r="X647" s="40">
        <f t="shared" si="71"/>
        <v>20361.039999999997</v>
      </c>
      <c r="Y647" s="40"/>
      <c r="AC647" s="76">
        <v>35.299999999999997</v>
      </c>
      <c r="AD647" s="38" t="s">
        <v>105</v>
      </c>
      <c r="AE647" s="26" t="s">
        <v>276</v>
      </c>
      <c r="AF647" s="40">
        <f t="shared" si="73"/>
        <v>576.79999999999995</v>
      </c>
      <c r="AG647" s="26" t="s">
        <v>105</v>
      </c>
      <c r="AH647" s="40">
        <f t="shared" si="72"/>
        <v>20361.039999999997</v>
      </c>
    </row>
    <row r="648" spans="1:34" ht="24" customHeight="1">
      <c r="A648" s="50">
        <f t="shared" si="70"/>
        <v>454</v>
      </c>
      <c r="B648" s="51" t="s">
        <v>907</v>
      </c>
      <c r="C648" s="49">
        <v>70</v>
      </c>
      <c r="D648" s="51" t="s">
        <v>105</v>
      </c>
      <c r="H648" s="35" t="s">
        <v>48</v>
      </c>
      <c r="N648" s="26" t="s">
        <v>67</v>
      </c>
      <c r="O648" s="26" t="s">
        <v>908</v>
      </c>
      <c r="S648" s="138">
        <v>19.5</v>
      </c>
      <c r="T648" s="29"/>
      <c r="U648" s="26" t="s">
        <v>909</v>
      </c>
      <c r="V648" s="105">
        <v>42.4</v>
      </c>
      <c r="W648" s="26" t="s">
        <v>106</v>
      </c>
      <c r="X648" s="40">
        <f t="shared" si="71"/>
        <v>826.8</v>
      </c>
      <c r="Y648" s="40"/>
      <c r="AC648" s="138">
        <v>40</v>
      </c>
      <c r="AD648" s="29"/>
      <c r="AE648" s="26" t="s">
        <v>909</v>
      </c>
      <c r="AF648" s="40">
        <f t="shared" si="73"/>
        <v>42.4</v>
      </c>
      <c r="AG648" s="26" t="s">
        <v>106</v>
      </c>
      <c r="AH648" s="40">
        <f t="shared" si="72"/>
        <v>1696</v>
      </c>
    </row>
    <row r="649" spans="1:34" ht="24" customHeight="1">
      <c r="A649" s="50">
        <f t="shared" si="70"/>
        <v>455</v>
      </c>
      <c r="B649" s="51" t="s">
        <v>910</v>
      </c>
      <c r="C649" s="49">
        <v>47.3</v>
      </c>
      <c r="D649" s="51" t="s">
        <v>105</v>
      </c>
      <c r="F649" s="76">
        <v>1.4E-2</v>
      </c>
      <c r="G649" s="38" t="s">
        <v>93</v>
      </c>
      <c r="H649" s="26" t="s">
        <v>695</v>
      </c>
      <c r="I649" s="40">
        <f>(K643)</f>
        <v>9743</v>
      </c>
      <c r="J649" s="26" t="s">
        <v>93</v>
      </c>
      <c r="K649" s="40">
        <f>(F649*I649)</f>
        <v>136.40200000000002</v>
      </c>
      <c r="O649" s="26" t="s">
        <v>911</v>
      </c>
      <c r="S649" s="28"/>
      <c r="T649" s="29"/>
      <c r="W649" s="31"/>
      <c r="X649" s="35" t="s">
        <v>48</v>
      </c>
      <c r="Y649" s="35"/>
      <c r="AD649" s="29"/>
      <c r="AG649" s="31"/>
      <c r="AH649" s="35" t="s">
        <v>48</v>
      </c>
    </row>
    <row r="650" spans="1:34" ht="24" customHeight="1">
      <c r="A650" s="50">
        <f t="shared" si="70"/>
        <v>456</v>
      </c>
      <c r="B650" s="51" t="s">
        <v>912</v>
      </c>
      <c r="C650" s="105">
        <v>29.3</v>
      </c>
      <c r="D650" s="51" t="s">
        <v>105</v>
      </c>
      <c r="F650" s="76"/>
      <c r="H650" s="26" t="s">
        <v>696</v>
      </c>
      <c r="K650" s="26" t="s">
        <v>27</v>
      </c>
      <c r="O650" s="26" t="s">
        <v>913</v>
      </c>
      <c r="S650" s="28"/>
      <c r="T650" s="29"/>
      <c r="U650" s="27" t="s">
        <v>280</v>
      </c>
      <c r="W650" s="31"/>
      <c r="X650" s="40">
        <f>SUM(X642:X648)</f>
        <v>90399.27459999999</v>
      </c>
      <c r="Y650" s="40"/>
      <c r="AD650" s="29"/>
      <c r="AE650" s="27" t="s">
        <v>280</v>
      </c>
      <c r="AG650" s="31"/>
      <c r="AH650" s="40">
        <f>SUM(AH642:AH648)</f>
        <v>95618.474599999987</v>
      </c>
    </row>
    <row r="651" spans="1:34" ht="24" customHeight="1">
      <c r="A651" s="50">
        <f t="shared" si="70"/>
        <v>457</v>
      </c>
      <c r="B651" s="51" t="s">
        <v>914</v>
      </c>
      <c r="C651" s="52">
        <v>155.32</v>
      </c>
      <c r="D651" s="51" t="s">
        <v>105</v>
      </c>
      <c r="F651" s="40">
        <v>0.5</v>
      </c>
      <c r="G651" s="38" t="s">
        <v>196</v>
      </c>
      <c r="H651" s="26" t="s">
        <v>298</v>
      </c>
      <c r="I651" s="40">
        <f>(C10)</f>
        <v>1076.5999999999999</v>
      </c>
      <c r="J651" s="26" t="s">
        <v>196</v>
      </c>
      <c r="K651" s="40">
        <f>(F651*I651)</f>
        <v>538.29999999999995</v>
      </c>
      <c r="O651" s="35" t="s">
        <v>48</v>
      </c>
      <c r="S651" s="28"/>
      <c r="T651" s="29"/>
      <c r="W651" s="31"/>
      <c r="X651" s="35" t="s">
        <v>41</v>
      </c>
      <c r="Y651" s="35"/>
      <c r="AD651" s="29"/>
      <c r="AG651" s="31"/>
      <c r="AH651" s="35" t="s">
        <v>41</v>
      </c>
    </row>
    <row r="652" spans="1:34" ht="24" customHeight="1">
      <c r="A652" s="50">
        <f t="shared" si="70"/>
        <v>458</v>
      </c>
      <c r="B652" s="51" t="s">
        <v>915</v>
      </c>
      <c r="C652" s="52">
        <v>91.08</v>
      </c>
      <c r="D652" s="51" t="s">
        <v>105</v>
      </c>
      <c r="F652" s="40">
        <v>0.75</v>
      </c>
      <c r="G652" s="38" t="s">
        <v>196</v>
      </c>
      <c r="H652" s="26" t="s">
        <v>271</v>
      </c>
      <c r="I652" s="40">
        <f>(C12)</f>
        <v>702.8</v>
      </c>
      <c r="J652" s="26" t="s">
        <v>196</v>
      </c>
      <c r="K652" s="40">
        <f>(F652*I652)</f>
        <v>527.09999999999991</v>
      </c>
      <c r="M652" s="40">
        <v>9.5</v>
      </c>
      <c r="N652" s="26" t="s">
        <v>93</v>
      </c>
      <c r="O652" s="26" t="s">
        <v>895</v>
      </c>
      <c r="P652" s="40">
        <f>(C61*2)</f>
        <v>235.2</v>
      </c>
      <c r="Q652" s="26" t="s">
        <v>93</v>
      </c>
      <c r="R652" s="40">
        <f t="shared" ref="R652:R660" si="74">(M652*P652)</f>
        <v>2234.4</v>
      </c>
      <c r="S652" s="28"/>
      <c r="T652" s="29"/>
      <c r="U652" s="26" t="s">
        <v>201</v>
      </c>
      <c r="W652" s="31"/>
      <c r="X652" s="40">
        <f>X650/10</f>
        <v>9039.927459999999</v>
      </c>
      <c r="Y652" s="40"/>
      <c r="AD652" s="29"/>
      <c r="AE652" s="26" t="s">
        <v>201</v>
      </c>
      <c r="AG652" s="31"/>
      <c r="AH652" s="40">
        <f>AH650/10</f>
        <v>9561.847459999999</v>
      </c>
    </row>
    <row r="653" spans="1:34" ht="24" customHeight="1">
      <c r="A653" s="50">
        <f t="shared" si="70"/>
        <v>459</v>
      </c>
      <c r="B653" s="51" t="s">
        <v>916</v>
      </c>
      <c r="C653" s="49">
        <v>41.9</v>
      </c>
      <c r="D653" s="51" t="s">
        <v>392</v>
      </c>
      <c r="G653" s="38" t="s">
        <v>106</v>
      </c>
      <c r="H653" s="26" t="s">
        <v>107</v>
      </c>
      <c r="J653" s="26" t="s">
        <v>106</v>
      </c>
      <c r="K653" s="40">
        <v>0</v>
      </c>
      <c r="M653" s="40">
        <v>0.47</v>
      </c>
      <c r="N653" s="26" t="s">
        <v>93</v>
      </c>
      <c r="O653" s="26" t="s">
        <v>917</v>
      </c>
      <c r="P653" s="40">
        <f>(R74)</f>
        <v>8048.2380000000003</v>
      </c>
      <c r="Q653" s="26" t="s">
        <v>93</v>
      </c>
      <c r="R653" s="40">
        <f t="shared" si="74"/>
        <v>3782.6718599999999</v>
      </c>
      <c r="S653" s="40">
        <v>1</v>
      </c>
      <c r="T653" s="38" t="s">
        <v>93</v>
      </c>
      <c r="U653" s="26" t="s">
        <v>523</v>
      </c>
      <c r="V653" s="40"/>
      <c r="W653" s="31"/>
      <c r="X653" s="40"/>
      <c r="Y653" s="40"/>
      <c r="AC653" s="40">
        <v>1</v>
      </c>
      <c r="AD653" s="38" t="s">
        <v>93</v>
      </c>
      <c r="AE653" s="26" t="s">
        <v>523</v>
      </c>
      <c r="AF653" s="40"/>
      <c r="AG653" s="31"/>
      <c r="AH653" s="40"/>
    </row>
    <row r="654" spans="1:34" ht="24" customHeight="1">
      <c r="A654" s="50">
        <f t="shared" si="70"/>
        <v>460</v>
      </c>
      <c r="B654" s="51" t="s">
        <v>918</v>
      </c>
      <c r="C654" s="52">
        <v>0.3</v>
      </c>
      <c r="D654" s="51" t="s">
        <v>105</v>
      </c>
      <c r="K654" s="35" t="s">
        <v>48</v>
      </c>
      <c r="M654" s="40">
        <v>1.62</v>
      </c>
      <c r="N654" s="26" t="s">
        <v>93</v>
      </c>
      <c r="O654" s="26" t="s">
        <v>817</v>
      </c>
      <c r="P654" s="40">
        <f>(R89)</f>
        <v>8213.3829999999998</v>
      </c>
      <c r="Q654" s="26" t="s">
        <v>93</v>
      </c>
      <c r="R654" s="40">
        <f t="shared" si="74"/>
        <v>13305.680460000001</v>
      </c>
      <c r="X654" s="139">
        <f>SUM(X652:X653)</f>
        <v>9039.927459999999</v>
      </c>
      <c r="Y654" s="139"/>
      <c r="AC654" s="32"/>
      <c r="AH654" s="139">
        <f>SUM(AH652:AH653)</f>
        <v>9561.847459999999</v>
      </c>
    </row>
    <row r="655" spans="1:34" ht="24" customHeight="1">
      <c r="A655" s="50">
        <f t="shared" si="70"/>
        <v>461</v>
      </c>
      <c r="B655" s="51" t="s">
        <v>919</v>
      </c>
      <c r="C655" s="49">
        <v>186</v>
      </c>
      <c r="D655" s="51" t="s">
        <v>438</v>
      </c>
      <c r="H655" s="26" t="s">
        <v>702</v>
      </c>
      <c r="K655" s="40">
        <f>SUM(K649:K653)</f>
        <v>1201.8019999999999</v>
      </c>
      <c r="M655" s="40">
        <v>15.22</v>
      </c>
      <c r="N655" s="26" t="s">
        <v>438</v>
      </c>
      <c r="O655" s="26" t="s">
        <v>920</v>
      </c>
      <c r="P655" s="40">
        <f>(R304)</f>
        <v>296.91696000000002</v>
      </c>
      <c r="Q655" s="26" t="s">
        <v>438</v>
      </c>
      <c r="R655" s="40">
        <f t="shared" si="74"/>
        <v>4519.0761312000004</v>
      </c>
      <c r="S655" s="28"/>
      <c r="T655" s="29"/>
      <c r="U655" s="28" t="s">
        <v>921</v>
      </c>
      <c r="X655" s="28">
        <f>X654*0.5%</f>
        <v>45.199637299999999</v>
      </c>
      <c r="AD655" s="29"/>
      <c r="AE655" s="28" t="s">
        <v>921</v>
      </c>
      <c r="AH655" s="28">
        <f>AH654*0.5%</f>
        <v>47.809237299999999</v>
      </c>
    </row>
    <row r="656" spans="1:34" ht="24" customHeight="1">
      <c r="A656" s="50">
        <f t="shared" si="70"/>
        <v>462</v>
      </c>
      <c r="B656" s="51" t="s">
        <v>922</v>
      </c>
      <c r="C656" s="52">
        <v>97.31</v>
      </c>
      <c r="D656" s="51" t="s">
        <v>438</v>
      </c>
      <c r="K656" s="35" t="s">
        <v>48</v>
      </c>
      <c r="M656" s="40">
        <v>0.18</v>
      </c>
      <c r="N656" s="26" t="s">
        <v>93</v>
      </c>
      <c r="O656" s="26" t="s">
        <v>923</v>
      </c>
      <c r="P656" s="40">
        <f>(K280)</f>
        <v>9627.887999999999</v>
      </c>
      <c r="Q656" s="26" t="s">
        <v>93</v>
      </c>
      <c r="R656" s="40">
        <f t="shared" si="74"/>
        <v>1733.0198399999997</v>
      </c>
      <c r="S656" s="28"/>
      <c r="T656" s="29"/>
      <c r="W656" s="31"/>
      <c r="X656" s="35"/>
      <c r="Y656" s="35"/>
      <c r="AD656" s="29"/>
      <c r="AG656" s="31"/>
      <c r="AH656" s="35"/>
    </row>
    <row r="657" spans="1:34" ht="24" customHeight="1">
      <c r="A657" s="50">
        <f t="shared" si="70"/>
        <v>463</v>
      </c>
      <c r="B657" s="51" t="s">
        <v>924</v>
      </c>
      <c r="C657" s="52">
        <v>198.2</v>
      </c>
      <c r="D657" s="51" t="s">
        <v>533</v>
      </c>
      <c r="H657" s="26" t="s">
        <v>403</v>
      </c>
      <c r="K657" s="40">
        <f>(K655/0.372)</f>
        <v>3230.6505376344085</v>
      </c>
      <c r="M657" s="40">
        <v>0.36</v>
      </c>
      <c r="N657" s="26" t="s">
        <v>438</v>
      </c>
      <c r="O657" s="26" t="s">
        <v>925</v>
      </c>
      <c r="P657" s="40">
        <f>(K467)</f>
        <v>458.9095145</v>
      </c>
      <c r="Q657" s="26" t="s">
        <v>438</v>
      </c>
      <c r="R657" s="40">
        <f t="shared" si="74"/>
        <v>165.20742522</v>
      </c>
      <c r="S657" s="28"/>
      <c r="T657" s="29"/>
      <c r="U657" s="28" t="s">
        <v>926</v>
      </c>
      <c r="W657" s="31"/>
      <c r="X657" s="39">
        <f>SUM(X654:X656)</f>
        <v>9085.1270972999991</v>
      </c>
      <c r="Y657" s="39"/>
      <c r="AD657" s="29"/>
      <c r="AE657" s="28" t="s">
        <v>926</v>
      </c>
      <c r="AG657" s="31"/>
      <c r="AH657" s="39">
        <f>SUM(AH654:AH656)</f>
        <v>9609.656697299999</v>
      </c>
    </row>
    <row r="658" spans="1:34" ht="24" customHeight="1">
      <c r="A658" s="50">
        <f t="shared" si="70"/>
        <v>464</v>
      </c>
      <c r="B658" s="51" t="s">
        <v>927</v>
      </c>
      <c r="C658" s="52">
        <v>198.2</v>
      </c>
      <c r="D658" s="51" t="s">
        <v>533</v>
      </c>
      <c r="K658" s="35" t="s">
        <v>41</v>
      </c>
      <c r="M658" s="40">
        <v>1</v>
      </c>
      <c r="N658" s="26" t="s">
        <v>105</v>
      </c>
      <c r="O658" s="26" t="s">
        <v>928</v>
      </c>
      <c r="P658" s="40">
        <f>(C203)</f>
        <v>125.6</v>
      </c>
      <c r="Q658" s="26" t="s">
        <v>105</v>
      </c>
      <c r="R658" s="40">
        <f t="shared" si="74"/>
        <v>125.6</v>
      </c>
      <c r="S658" s="28"/>
      <c r="T658" s="29"/>
      <c r="W658" s="31"/>
      <c r="X658" s="35" t="s">
        <v>48</v>
      </c>
      <c r="Y658" s="35"/>
      <c r="AD658" s="29"/>
      <c r="AG658" s="31"/>
      <c r="AH658" s="35" t="s">
        <v>48</v>
      </c>
    </row>
    <row r="659" spans="1:34" ht="24" customHeight="1">
      <c r="A659" s="50">
        <f t="shared" si="70"/>
        <v>465</v>
      </c>
      <c r="B659" s="51" t="s">
        <v>929</v>
      </c>
      <c r="C659" s="52">
        <v>3.84</v>
      </c>
      <c r="D659" s="51" t="s">
        <v>105</v>
      </c>
      <c r="E659" s="28" t="s">
        <v>930</v>
      </c>
      <c r="H659" s="26" t="s">
        <v>309</v>
      </c>
      <c r="I659" s="28">
        <f>K657</f>
        <v>3230.6505376344085</v>
      </c>
      <c r="J659" s="31">
        <f>C22*0.014/0.372</f>
        <v>4.7366666666666672</v>
      </c>
      <c r="K659" s="39">
        <f>I659+J659</f>
        <v>3235.3872043010751</v>
      </c>
      <c r="M659" s="40">
        <v>1.8</v>
      </c>
      <c r="N659" s="26" t="s">
        <v>931</v>
      </c>
      <c r="O659" s="26" t="s">
        <v>932</v>
      </c>
      <c r="P659" s="40">
        <f>(C325)</f>
        <v>14.91</v>
      </c>
      <c r="Q659" s="26" t="s">
        <v>931</v>
      </c>
      <c r="R659" s="40">
        <f t="shared" si="74"/>
        <v>26.838000000000001</v>
      </c>
      <c r="S659" s="28"/>
      <c r="T659" s="29"/>
      <c r="U659" s="26" t="s">
        <v>309</v>
      </c>
      <c r="W659" s="31"/>
      <c r="X659" s="39">
        <f>(X657+C23)</f>
        <v>9332.9270972999984</v>
      </c>
      <c r="Y659" s="39"/>
      <c r="AD659" s="29"/>
      <c r="AE659" s="26" t="s">
        <v>309</v>
      </c>
      <c r="AG659" s="31"/>
      <c r="AH659" s="39">
        <f>AH657+C23</f>
        <v>9857.4566972999983</v>
      </c>
    </row>
    <row r="660" spans="1:34" ht="24" customHeight="1">
      <c r="A660" s="50">
        <f t="shared" si="70"/>
        <v>466</v>
      </c>
      <c r="B660" s="51" t="s">
        <v>933</v>
      </c>
      <c r="C660" s="47">
        <v>54.5</v>
      </c>
      <c r="D660" s="140">
        <v>61.5</v>
      </c>
      <c r="E660" s="28" t="s">
        <v>934</v>
      </c>
      <c r="H660" s="26" t="s">
        <v>313</v>
      </c>
      <c r="I660" s="28">
        <f>K659</f>
        <v>3235.3872043010751</v>
      </c>
      <c r="J660" s="31">
        <f>C23*0.014/0.372</f>
        <v>9.3258064516129036</v>
      </c>
      <c r="K660" s="39">
        <f>I660+J660</f>
        <v>3244.7130107526882</v>
      </c>
      <c r="M660" s="40">
        <v>1</v>
      </c>
      <c r="N660" s="26" t="s">
        <v>105</v>
      </c>
      <c r="O660" s="26" t="s">
        <v>935</v>
      </c>
      <c r="P660" s="40">
        <f>(C371)</f>
        <v>13.29</v>
      </c>
      <c r="Q660" s="26" t="s">
        <v>105</v>
      </c>
      <c r="R660" s="40">
        <f t="shared" si="74"/>
        <v>13.29</v>
      </c>
      <c r="S660" s="28"/>
      <c r="T660" s="29"/>
      <c r="U660" s="26" t="s">
        <v>313</v>
      </c>
      <c r="W660" s="31"/>
      <c r="X660" s="39">
        <f>X659+C24</f>
        <v>9580.7270972999977</v>
      </c>
      <c r="Y660" s="39"/>
      <c r="AD660" s="29"/>
      <c r="AE660" s="26" t="s">
        <v>313</v>
      </c>
      <c r="AG660" s="31"/>
      <c r="AH660" s="39">
        <f>AH659+C24</f>
        <v>10105.256697299998</v>
      </c>
    </row>
    <row r="661" spans="1:34" ht="32.25" customHeight="1">
      <c r="A661" s="50">
        <f t="shared" si="70"/>
        <v>467</v>
      </c>
      <c r="B661" s="141" t="s">
        <v>936</v>
      </c>
      <c r="C661" s="121">
        <v>8.1</v>
      </c>
      <c r="D661" s="122" t="s">
        <v>244</v>
      </c>
      <c r="E661" s="142">
        <v>10.92</v>
      </c>
      <c r="H661" s="26" t="s">
        <v>316</v>
      </c>
      <c r="I661" s="28">
        <f>K660</f>
        <v>3244.7130107526882</v>
      </c>
      <c r="J661" s="31">
        <f>J660</f>
        <v>9.3258064516129036</v>
      </c>
      <c r="K661" s="39">
        <f>I661+J661</f>
        <v>3254.0388172043013</v>
      </c>
      <c r="N661" s="26" t="s">
        <v>106</v>
      </c>
      <c r="O661" s="26" t="s">
        <v>827</v>
      </c>
      <c r="Q661" s="26" t="s">
        <v>106</v>
      </c>
      <c r="R661" s="40">
        <v>1.72</v>
      </c>
      <c r="S661" s="28"/>
      <c r="T661" s="29"/>
      <c r="U661" s="26" t="s">
        <v>316</v>
      </c>
      <c r="W661" s="31"/>
      <c r="X661" s="39">
        <f>X660+C25</f>
        <v>9679.7070972999973</v>
      </c>
      <c r="Y661" s="39"/>
      <c r="AD661" s="29"/>
      <c r="AE661" s="26" t="s">
        <v>316</v>
      </c>
      <c r="AG661" s="31"/>
      <c r="AH661" s="39">
        <f>AH660+C25</f>
        <v>10204.236697299997</v>
      </c>
    </row>
    <row r="662" spans="1:34" ht="24" customHeight="1">
      <c r="A662" s="50">
        <f t="shared" si="70"/>
        <v>468</v>
      </c>
      <c r="B662" s="143" t="s">
        <v>937</v>
      </c>
      <c r="C662" s="121">
        <v>13.51</v>
      </c>
      <c r="D662" s="122" t="s">
        <v>244</v>
      </c>
      <c r="E662" s="142"/>
      <c r="H662" s="26" t="s">
        <v>318</v>
      </c>
      <c r="I662" s="28">
        <f>K661</f>
        <v>3254.0388172043013</v>
      </c>
      <c r="J662" s="31">
        <f>J661</f>
        <v>9.3258064516129036</v>
      </c>
      <c r="K662" s="39">
        <f>I662+J662</f>
        <v>3263.3646236559143</v>
      </c>
      <c r="R662" s="26" t="s">
        <v>27</v>
      </c>
      <c r="S662" s="28"/>
      <c r="T662" s="29"/>
      <c r="U662" s="26" t="s">
        <v>318</v>
      </c>
      <c r="W662" s="31"/>
      <c r="X662" s="39">
        <f>X661+C25</f>
        <v>9778.6870972999968</v>
      </c>
      <c r="Y662" s="39"/>
      <c r="AD662" s="29"/>
      <c r="AE662" s="26" t="s">
        <v>318</v>
      </c>
      <c r="AG662" s="31"/>
      <c r="AH662" s="39">
        <f>AH661+C25</f>
        <v>10303.216697299997</v>
      </c>
    </row>
    <row r="663" spans="1:34" ht="24" customHeight="1">
      <c r="A663" s="50">
        <f t="shared" si="70"/>
        <v>469</v>
      </c>
      <c r="B663" s="51" t="s">
        <v>938</v>
      </c>
      <c r="C663" s="47">
        <v>7.1</v>
      </c>
      <c r="D663" s="75">
        <v>8.5</v>
      </c>
      <c r="E663" s="28">
        <v>2</v>
      </c>
      <c r="H663" s="26" t="s">
        <v>707</v>
      </c>
      <c r="I663" s="28">
        <f>K662</f>
        <v>3263.3646236559143</v>
      </c>
      <c r="J663" s="31">
        <f>J662</f>
        <v>9.3258064516129036</v>
      </c>
      <c r="K663" s="39">
        <f>I663+J663</f>
        <v>3272.6904301075274</v>
      </c>
      <c r="R663" s="35" t="s">
        <v>48</v>
      </c>
      <c r="S663" s="28"/>
      <c r="T663" s="29"/>
      <c r="U663" s="26" t="s">
        <v>407</v>
      </c>
      <c r="W663" s="31"/>
      <c r="X663" s="39">
        <f>X662+C25</f>
        <v>9877.6670972999964</v>
      </c>
      <c r="Y663" s="39"/>
      <c r="AD663" s="29"/>
      <c r="AE663" s="26" t="s">
        <v>407</v>
      </c>
      <c r="AG663" s="31"/>
      <c r="AH663" s="39">
        <f>AH662+K25</f>
        <v>10303.216697299997</v>
      </c>
    </row>
    <row r="664" spans="1:34" ht="24" customHeight="1">
      <c r="A664" s="50"/>
      <c r="B664" s="51"/>
      <c r="C664" s="47"/>
      <c r="D664" s="75"/>
      <c r="H664" s="26">
        <v>5</v>
      </c>
      <c r="I664" s="28">
        <f t="shared" ref="I664:I670" si="75">K663</f>
        <v>3272.6904301075274</v>
      </c>
      <c r="J664" s="31">
        <f t="shared" ref="J664:J670" si="76">J663</f>
        <v>9.3258064516129036</v>
      </c>
      <c r="K664" s="39">
        <f t="shared" ref="K664:K670" si="77">I664+J664</f>
        <v>3282.0162365591405</v>
      </c>
      <c r="R664" s="35"/>
      <c r="S664" s="28"/>
      <c r="T664" s="29"/>
      <c r="U664" s="26">
        <v>5</v>
      </c>
      <c r="W664" s="31"/>
      <c r="X664" s="39">
        <f>X663+C25</f>
        <v>9976.6470972999959</v>
      </c>
      <c r="Y664" s="39"/>
      <c r="AD664" s="29"/>
      <c r="AE664" s="26">
        <v>5</v>
      </c>
      <c r="AG664" s="31"/>
      <c r="AH664" s="39">
        <f>AH663+K25</f>
        <v>10303.216697299997</v>
      </c>
    </row>
    <row r="665" spans="1:34" ht="24" hidden="1" customHeight="1">
      <c r="A665" s="50"/>
      <c r="B665" s="51"/>
      <c r="C665" s="47"/>
      <c r="D665" s="75"/>
      <c r="H665" s="26">
        <v>6</v>
      </c>
      <c r="I665" s="28">
        <f t="shared" si="75"/>
        <v>3282.0162365591405</v>
      </c>
      <c r="J665" s="31">
        <f t="shared" si="76"/>
        <v>9.3258064516129036</v>
      </c>
      <c r="K665" s="39">
        <f t="shared" si="77"/>
        <v>3291.3420430107535</v>
      </c>
      <c r="R665" s="35"/>
      <c r="AC665" s="32"/>
    </row>
    <row r="666" spans="1:34" ht="24" hidden="1" customHeight="1">
      <c r="A666" s="50"/>
      <c r="B666" s="51"/>
      <c r="C666" s="47"/>
      <c r="D666" s="75"/>
      <c r="H666" s="26">
        <v>7</v>
      </c>
      <c r="I666" s="28">
        <f t="shared" si="75"/>
        <v>3291.3420430107535</v>
      </c>
      <c r="J666" s="31">
        <f t="shared" si="76"/>
        <v>9.3258064516129036</v>
      </c>
      <c r="K666" s="39">
        <f t="shared" si="77"/>
        <v>3300.6678494623666</v>
      </c>
      <c r="R666" s="35"/>
      <c r="AC666" s="32"/>
    </row>
    <row r="667" spans="1:34" ht="24" hidden="1" customHeight="1">
      <c r="A667" s="50"/>
      <c r="B667" s="51"/>
      <c r="C667" s="47"/>
      <c r="D667" s="75"/>
      <c r="H667" s="26">
        <v>8</v>
      </c>
      <c r="I667" s="28">
        <f t="shared" si="75"/>
        <v>3300.6678494623666</v>
      </c>
      <c r="J667" s="31">
        <f t="shared" si="76"/>
        <v>9.3258064516129036</v>
      </c>
      <c r="K667" s="39">
        <f t="shared" si="77"/>
        <v>3309.9936559139796</v>
      </c>
      <c r="R667" s="35"/>
      <c r="AC667" s="32"/>
    </row>
    <row r="668" spans="1:34" ht="24" hidden="1" customHeight="1">
      <c r="A668" s="50"/>
      <c r="B668" s="51"/>
      <c r="C668" s="47"/>
      <c r="D668" s="75"/>
      <c r="H668" s="26">
        <v>9</v>
      </c>
      <c r="I668" s="28">
        <f t="shared" si="75"/>
        <v>3309.9936559139796</v>
      </c>
      <c r="J668" s="31">
        <f t="shared" si="76"/>
        <v>9.3258064516129036</v>
      </c>
      <c r="K668" s="39">
        <f t="shared" si="77"/>
        <v>3319.3194623655927</v>
      </c>
      <c r="R668" s="35"/>
      <c r="AC668" s="32"/>
    </row>
    <row r="669" spans="1:34" ht="24" hidden="1" customHeight="1">
      <c r="A669" s="50"/>
      <c r="B669" s="51"/>
      <c r="C669" s="47"/>
      <c r="D669" s="75"/>
      <c r="H669" s="26">
        <v>10</v>
      </c>
      <c r="I669" s="28">
        <f t="shared" si="75"/>
        <v>3319.3194623655927</v>
      </c>
      <c r="J669" s="31">
        <f t="shared" si="76"/>
        <v>9.3258064516129036</v>
      </c>
      <c r="K669" s="39">
        <f t="shared" si="77"/>
        <v>3328.6452688172058</v>
      </c>
      <c r="R669" s="35"/>
      <c r="AC669" s="32"/>
    </row>
    <row r="670" spans="1:34" ht="24" hidden="1" customHeight="1">
      <c r="A670" s="50"/>
      <c r="B670" s="51"/>
      <c r="C670" s="47"/>
      <c r="D670" s="75"/>
      <c r="H670" s="26">
        <v>11</v>
      </c>
      <c r="I670" s="28">
        <f t="shared" si="75"/>
        <v>3328.6452688172058</v>
      </c>
      <c r="J670" s="31">
        <f t="shared" si="76"/>
        <v>9.3258064516129036</v>
      </c>
      <c r="K670" s="39">
        <f t="shared" si="77"/>
        <v>3337.9710752688188</v>
      </c>
      <c r="R670" s="35"/>
      <c r="AC670" s="32"/>
    </row>
    <row r="671" spans="1:34" ht="24" hidden="1" customHeight="1">
      <c r="A671" s="50"/>
      <c r="B671" s="51"/>
      <c r="C671" s="47"/>
      <c r="D671" s="75"/>
      <c r="H671" s="26"/>
      <c r="K671" s="39"/>
      <c r="R671" s="35"/>
      <c r="AC671" s="32"/>
    </row>
    <row r="672" spans="1:34" ht="28.5" customHeight="1">
      <c r="A672" s="50">
        <f>(A663+1)</f>
        <v>470</v>
      </c>
      <c r="B672" s="51" t="s">
        <v>939</v>
      </c>
      <c r="C672" s="47">
        <v>10.199999999999999</v>
      </c>
      <c r="D672" s="75">
        <v>21.1</v>
      </c>
      <c r="E672" s="28">
        <v>3.7</v>
      </c>
      <c r="F672" s="27" t="s">
        <v>940</v>
      </c>
      <c r="H672" s="26" t="s">
        <v>941</v>
      </c>
      <c r="O672" s="26" t="s">
        <v>830</v>
      </c>
      <c r="R672" s="40">
        <f>SUM(R652:R662)</f>
        <v>25907.50371642</v>
      </c>
      <c r="AC672" s="32"/>
    </row>
    <row r="673" spans="1:35" ht="24" customHeight="1">
      <c r="A673" s="50">
        <f t="shared" si="70"/>
        <v>471</v>
      </c>
      <c r="B673" s="51" t="s">
        <v>942</v>
      </c>
      <c r="C673" s="48">
        <v>4</v>
      </c>
      <c r="D673" s="51" t="s">
        <v>106</v>
      </c>
      <c r="H673" s="26" t="s">
        <v>943</v>
      </c>
      <c r="R673" s="35" t="s">
        <v>48</v>
      </c>
      <c r="AG673" s="47" t="str">
        <f t="shared" ref="AG673:AG680" si="78">AI673</f>
        <v>|</v>
      </c>
      <c r="AI673" s="26" t="s">
        <v>685</v>
      </c>
    </row>
    <row r="674" spans="1:35" ht="24" customHeight="1">
      <c r="A674" s="50">
        <f t="shared" si="70"/>
        <v>472</v>
      </c>
      <c r="B674" s="51" t="s">
        <v>944</v>
      </c>
      <c r="C674" s="48">
        <v>5</v>
      </c>
      <c r="D674" s="51" t="s">
        <v>106</v>
      </c>
      <c r="H674" s="26" t="s">
        <v>945</v>
      </c>
      <c r="O674" s="26" t="s">
        <v>946</v>
      </c>
      <c r="T674" s="41">
        <v>4.2</v>
      </c>
      <c r="U674" s="41" t="s">
        <v>947</v>
      </c>
      <c r="AG674" s="47" t="str">
        <f t="shared" si="78"/>
        <v>|</v>
      </c>
      <c r="AI674" s="26" t="s">
        <v>685</v>
      </c>
    </row>
    <row r="675" spans="1:35" ht="24" customHeight="1">
      <c r="A675" s="50">
        <f t="shared" si="70"/>
        <v>473</v>
      </c>
      <c r="B675" s="51" t="s">
        <v>948</v>
      </c>
      <c r="C675" s="52">
        <v>96</v>
      </c>
      <c r="D675" s="51" t="s">
        <v>105</v>
      </c>
      <c r="H675" s="26" t="s">
        <v>949</v>
      </c>
      <c r="N675" s="26" t="s">
        <v>67</v>
      </c>
      <c r="O675" s="26" t="s">
        <v>950</v>
      </c>
      <c r="S675" s="32">
        <v>5</v>
      </c>
      <c r="T675" s="28" t="s">
        <v>475</v>
      </c>
      <c r="U675" s="28" t="s">
        <v>951</v>
      </c>
      <c r="V675" s="28">
        <f>V705</f>
        <v>2923.8</v>
      </c>
      <c r="X675" s="28">
        <f>V675*S675</f>
        <v>14619</v>
      </c>
      <c r="AG675" s="47" t="str">
        <f t="shared" si="78"/>
        <v>|</v>
      </c>
      <c r="AI675" s="26" t="s">
        <v>685</v>
      </c>
    </row>
    <row r="676" spans="1:35" ht="24" customHeight="1">
      <c r="A676" s="50">
        <f t="shared" si="70"/>
        <v>474</v>
      </c>
      <c r="B676" s="51" t="s">
        <v>952</v>
      </c>
      <c r="C676" s="52">
        <v>75</v>
      </c>
      <c r="D676" s="51" t="s">
        <v>105</v>
      </c>
      <c r="H676" s="26" t="s">
        <v>953</v>
      </c>
      <c r="O676" s="26" t="s">
        <v>954</v>
      </c>
      <c r="S676" s="32">
        <v>3.3</v>
      </c>
      <c r="T676" s="28" t="s">
        <v>475</v>
      </c>
      <c r="U676" s="28" t="s">
        <v>955</v>
      </c>
      <c r="V676" s="28">
        <f t="shared" ref="V676:V685" si="79">V706</f>
        <v>2651.3</v>
      </c>
      <c r="X676" s="28">
        <f t="shared" ref="X676:X682" si="80">V676*S676</f>
        <v>8749.2900000000009</v>
      </c>
      <c r="AG676" s="47" t="str">
        <f t="shared" si="78"/>
        <v>|</v>
      </c>
      <c r="AI676" s="26" t="s">
        <v>685</v>
      </c>
    </row>
    <row r="677" spans="1:35" ht="24" customHeight="1">
      <c r="A677" s="50">
        <f t="shared" si="70"/>
        <v>475</v>
      </c>
      <c r="B677" s="51" t="s">
        <v>956</v>
      </c>
      <c r="C677" s="47">
        <v>28.5</v>
      </c>
      <c r="D677" s="47">
        <v>31</v>
      </c>
      <c r="E677" s="28">
        <v>3</v>
      </c>
      <c r="H677" s="26" t="s">
        <v>957</v>
      </c>
      <c r="O677" s="35" t="s">
        <v>48</v>
      </c>
      <c r="S677" s="32">
        <v>4.79</v>
      </c>
      <c r="T677" s="28" t="s">
        <v>475</v>
      </c>
      <c r="U677" s="28" t="s">
        <v>958</v>
      </c>
      <c r="V677" s="28">
        <f t="shared" si="79"/>
        <v>2765.84</v>
      </c>
      <c r="X677" s="28">
        <f t="shared" si="80"/>
        <v>13248.373600000001</v>
      </c>
      <c r="AG677" s="47" t="str">
        <f t="shared" si="78"/>
        <v>|</v>
      </c>
      <c r="AI677" s="26" t="s">
        <v>685</v>
      </c>
    </row>
    <row r="678" spans="1:35" ht="24" customHeight="1">
      <c r="A678" s="50">
        <f t="shared" si="70"/>
        <v>476</v>
      </c>
      <c r="B678" s="51" t="s">
        <v>959</v>
      </c>
      <c r="C678" s="52">
        <v>80</v>
      </c>
      <c r="D678" s="51" t="s">
        <v>105</v>
      </c>
      <c r="H678" s="26" t="s">
        <v>960</v>
      </c>
      <c r="M678" s="40">
        <v>1</v>
      </c>
      <c r="N678" s="26" t="s">
        <v>105</v>
      </c>
      <c r="O678" s="26" t="s">
        <v>961</v>
      </c>
      <c r="P678" s="40">
        <f>(C383)</f>
        <v>14.91</v>
      </c>
      <c r="Q678" s="26" t="s">
        <v>105</v>
      </c>
      <c r="R678" s="40">
        <f>(M678*P678)</f>
        <v>14.91</v>
      </c>
      <c r="S678" s="32">
        <v>4</v>
      </c>
      <c r="T678" s="28" t="s">
        <v>962</v>
      </c>
      <c r="U678" s="28" t="s">
        <v>26</v>
      </c>
      <c r="V678" s="28">
        <f t="shared" si="79"/>
        <v>5800</v>
      </c>
      <c r="X678" s="28">
        <f t="shared" si="80"/>
        <v>23200</v>
      </c>
      <c r="AG678" s="47" t="str">
        <f t="shared" si="78"/>
        <v>|</v>
      </c>
      <c r="AI678" s="26" t="s">
        <v>685</v>
      </c>
    </row>
    <row r="679" spans="1:35" ht="24" customHeight="1">
      <c r="A679" s="50">
        <f t="shared" si="70"/>
        <v>477</v>
      </c>
      <c r="B679" s="51" t="s">
        <v>963</v>
      </c>
      <c r="C679" s="52">
        <v>64</v>
      </c>
      <c r="D679" s="51" t="s">
        <v>105</v>
      </c>
      <c r="H679" s="35" t="s">
        <v>48</v>
      </c>
      <c r="I679" s="35" t="s">
        <v>48</v>
      </c>
      <c r="N679" s="26" t="s">
        <v>106</v>
      </c>
      <c r="O679" s="26" t="s">
        <v>964</v>
      </c>
      <c r="Q679" s="26" t="s">
        <v>106</v>
      </c>
      <c r="R679" s="40">
        <v>2.09</v>
      </c>
      <c r="S679" s="32">
        <v>40</v>
      </c>
      <c r="T679" s="28" t="s">
        <v>392</v>
      </c>
      <c r="U679" s="28" t="s">
        <v>965</v>
      </c>
      <c r="V679" s="28">
        <f>V648</f>
        <v>42.4</v>
      </c>
      <c r="X679" s="28">
        <f t="shared" si="80"/>
        <v>1696</v>
      </c>
      <c r="AG679" s="47" t="str">
        <f t="shared" si="78"/>
        <v>|</v>
      </c>
      <c r="AI679" s="26" t="s">
        <v>685</v>
      </c>
    </row>
    <row r="680" spans="1:35" ht="24" customHeight="1">
      <c r="A680" s="50">
        <f t="shared" si="70"/>
        <v>478</v>
      </c>
      <c r="B680" s="51" t="s">
        <v>966</v>
      </c>
      <c r="C680" s="52">
        <v>40.5</v>
      </c>
      <c r="D680" s="51" t="s">
        <v>105</v>
      </c>
      <c r="F680" s="40">
        <v>1</v>
      </c>
      <c r="G680" s="38" t="s">
        <v>438</v>
      </c>
      <c r="H680" s="26" t="s">
        <v>967</v>
      </c>
      <c r="I680" s="40">
        <f>D76</f>
        <v>290</v>
      </c>
      <c r="J680" s="26" t="s">
        <v>438</v>
      </c>
      <c r="K680" s="40">
        <f>(F680*I680)</f>
        <v>290</v>
      </c>
      <c r="O680" s="26" t="s">
        <v>968</v>
      </c>
      <c r="R680" s="26" t="s">
        <v>27</v>
      </c>
      <c r="S680" s="32">
        <v>3.5</v>
      </c>
      <c r="T680" s="28" t="s">
        <v>969</v>
      </c>
      <c r="U680" s="28" t="s">
        <v>970</v>
      </c>
      <c r="V680" s="28">
        <f t="shared" si="79"/>
        <v>1005.1999999999999</v>
      </c>
      <c r="X680" s="28">
        <f>V680*S680</f>
        <v>3518.2</v>
      </c>
      <c r="AG680" s="47" t="str">
        <f t="shared" si="78"/>
        <v>|</v>
      </c>
      <c r="AI680" s="26" t="s">
        <v>685</v>
      </c>
    </row>
    <row r="681" spans="1:35" ht="24" customHeight="1">
      <c r="A681" s="50">
        <f t="shared" si="70"/>
        <v>479</v>
      </c>
      <c r="B681" s="51" t="s">
        <v>971</v>
      </c>
      <c r="C681" s="52">
        <v>92</v>
      </c>
      <c r="D681" s="51" t="s">
        <v>105</v>
      </c>
      <c r="F681" s="40">
        <v>1</v>
      </c>
      <c r="G681" s="38" t="s">
        <v>438</v>
      </c>
      <c r="H681" s="26" t="s">
        <v>972</v>
      </c>
      <c r="I681" s="40">
        <f>C75</f>
        <v>175</v>
      </c>
      <c r="J681" s="26" t="s">
        <v>438</v>
      </c>
      <c r="K681" s="40">
        <f>(F681*I681)</f>
        <v>175</v>
      </c>
      <c r="R681" s="35" t="s">
        <v>48</v>
      </c>
      <c r="S681" s="32">
        <v>21.2</v>
      </c>
      <c r="T681" s="28" t="s">
        <v>969</v>
      </c>
      <c r="U681" s="28" t="s">
        <v>973</v>
      </c>
      <c r="V681" s="28">
        <f t="shared" si="79"/>
        <v>702.8</v>
      </c>
      <c r="X681" s="28">
        <f t="shared" si="80"/>
        <v>14899.359999999999</v>
      </c>
      <c r="AG681" s="47">
        <f>32.32*100</f>
        <v>3232</v>
      </c>
      <c r="AI681" s="26" t="s">
        <v>685</v>
      </c>
    </row>
    <row r="682" spans="1:35" ht="24" customHeight="1">
      <c r="A682" s="50">
        <f t="shared" si="70"/>
        <v>480</v>
      </c>
      <c r="B682" s="51" t="s">
        <v>974</v>
      </c>
      <c r="C682" s="52">
        <v>60</v>
      </c>
      <c r="D682" s="51" t="s">
        <v>105</v>
      </c>
      <c r="F682" s="40">
        <v>1</v>
      </c>
      <c r="G682" s="38" t="s">
        <v>106</v>
      </c>
      <c r="H682" s="26" t="s">
        <v>975</v>
      </c>
      <c r="I682" s="104">
        <v>15</v>
      </c>
      <c r="J682" s="26" t="s">
        <v>106</v>
      </c>
      <c r="K682" s="40">
        <f>(F682*I682)</f>
        <v>15</v>
      </c>
      <c r="O682" s="26" t="s">
        <v>976</v>
      </c>
      <c r="R682" s="40">
        <f>SUM(R678:R680)</f>
        <v>17</v>
      </c>
      <c r="S682" s="32">
        <v>35.299999999999997</v>
      </c>
      <c r="T682" s="28" t="s">
        <v>969</v>
      </c>
      <c r="U682" s="28" t="s">
        <v>977</v>
      </c>
      <c r="V682" s="28">
        <f>V712</f>
        <v>576.79999999999995</v>
      </c>
      <c r="X682" s="28">
        <f t="shared" si="80"/>
        <v>20361.039999999997</v>
      </c>
      <c r="AG682" s="47">
        <f>48.824*100</f>
        <v>4882.3999999999996</v>
      </c>
      <c r="AI682" s="26" t="s">
        <v>685</v>
      </c>
    </row>
    <row r="683" spans="1:35" ht="24" customHeight="1">
      <c r="A683" s="50">
        <f t="shared" si="70"/>
        <v>481</v>
      </c>
      <c r="B683" s="51" t="s">
        <v>978</v>
      </c>
      <c r="C683" s="52">
        <v>49.87</v>
      </c>
      <c r="D683" s="51" t="s">
        <v>105</v>
      </c>
      <c r="K683" s="35" t="s">
        <v>48</v>
      </c>
      <c r="R683" s="35" t="s">
        <v>48</v>
      </c>
      <c r="U683" s="41" t="s">
        <v>979</v>
      </c>
      <c r="X683" s="41">
        <f>SUM(X675:X682)</f>
        <v>100291.26359999999</v>
      </c>
      <c r="Y683" s="41"/>
      <c r="AC683" s="32">
        <f>22.77+26.054</f>
        <v>48.823999999999998</v>
      </c>
      <c r="AG683" s="47">
        <f>0.52*100</f>
        <v>52</v>
      </c>
      <c r="AI683" s="26" t="s">
        <v>685</v>
      </c>
    </row>
    <row r="684" spans="1:35" ht="24" customHeight="1">
      <c r="A684" s="50">
        <f t="shared" si="70"/>
        <v>482</v>
      </c>
      <c r="B684" s="51" t="s">
        <v>980</v>
      </c>
      <c r="C684" s="52">
        <v>80</v>
      </c>
      <c r="D684" s="51" t="s">
        <v>105</v>
      </c>
      <c r="H684" s="26" t="s">
        <v>403</v>
      </c>
      <c r="K684" s="40">
        <f>SUM(K678:K682)</f>
        <v>480</v>
      </c>
      <c r="U684" s="41" t="s">
        <v>981</v>
      </c>
      <c r="X684" s="41">
        <f>X683/10</f>
        <v>10029.126359999998</v>
      </c>
      <c r="Y684" s="41"/>
      <c r="Z684" s="28">
        <f>X684</f>
        <v>10029.126359999998</v>
      </c>
      <c r="AE684" s="28">
        <f>26.19*0.02</f>
        <v>0.52380000000000004</v>
      </c>
      <c r="AG684" s="47">
        <f>0.397*100</f>
        <v>39.700000000000003</v>
      </c>
      <c r="AH684" s="28">
        <f>AG681+AG682+AG683+AG684</f>
        <v>8206.1</v>
      </c>
      <c r="AI684" s="26" t="s">
        <v>685</v>
      </c>
    </row>
    <row r="685" spans="1:35" ht="24" customHeight="1">
      <c r="A685" s="50">
        <f t="shared" si="70"/>
        <v>483</v>
      </c>
      <c r="B685" s="51" t="s">
        <v>982</v>
      </c>
      <c r="C685" s="52">
        <v>52</v>
      </c>
      <c r="D685" s="51" t="s">
        <v>105</v>
      </c>
      <c r="H685" s="26" t="s">
        <v>983</v>
      </c>
      <c r="K685" s="35" t="s">
        <v>41</v>
      </c>
      <c r="N685" s="26" t="s">
        <v>67</v>
      </c>
      <c r="O685" s="26" t="s">
        <v>984</v>
      </c>
      <c r="S685" s="32">
        <v>1</v>
      </c>
      <c r="T685" s="28" t="s">
        <v>475</v>
      </c>
      <c r="U685" s="28" t="s">
        <v>985</v>
      </c>
      <c r="V685" s="28">
        <f t="shared" si="79"/>
        <v>98.98</v>
      </c>
      <c r="X685" s="28">
        <f>V685</f>
        <v>98.98</v>
      </c>
      <c r="AE685" s="32">
        <f>9.92*0.04</f>
        <v>0.39679999999999999</v>
      </c>
      <c r="AG685" s="47" t="str">
        <f t="shared" ref="AG685:AG748" si="81">AI685</f>
        <v>|</v>
      </c>
      <c r="AI685" s="26" t="s">
        <v>685</v>
      </c>
    </row>
    <row r="686" spans="1:35" ht="24" customHeight="1">
      <c r="A686" s="50">
        <f t="shared" si="70"/>
        <v>484</v>
      </c>
      <c r="B686" s="51" t="s">
        <v>986</v>
      </c>
      <c r="C686" s="52">
        <v>39</v>
      </c>
      <c r="D686" s="51" t="s">
        <v>105</v>
      </c>
      <c r="H686" s="26" t="s">
        <v>309</v>
      </c>
      <c r="I686" s="28">
        <f>K684</f>
        <v>480</v>
      </c>
      <c r="J686" s="31">
        <f>C19*0.05</f>
        <v>4.1440000000000001</v>
      </c>
      <c r="K686" s="39">
        <f>I686+J686</f>
        <v>484.14400000000001</v>
      </c>
      <c r="O686" s="26" t="s">
        <v>954</v>
      </c>
      <c r="U686" s="28" t="s">
        <v>987</v>
      </c>
      <c r="X686" s="41">
        <f>SUM(X684:X685)</f>
        <v>10128.106359999998</v>
      </c>
      <c r="Y686" s="41"/>
      <c r="Z686" s="28">
        <f>SUM(Z684:Z685)</f>
        <v>10029.126359999998</v>
      </c>
      <c r="AG686" s="47" t="str">
        <f t="shared" si="81"/>
        <v>|</v>
      </c>
      <c r="AH686" s="28">
        <f>SUM(AH684:AH685)</f>
        <v>8206.1</v>
      </c>
      <c r="AI686" s="26" t="s">
        <v>685</v>
      </c>
    </row>
    <row r="687" spans="1:35" ht="24" customHeight="1">
      <c r="A687" s="50">
        <f t="shared" si="70"/>
        <v>485</v>
      </c>
      <c r="B687" s="51" t="s">
        <v>988</v>
      </c>
      <c r="C687" s="52">
        <v>90</v>
      </c>
      <c r="D687" s="51" t="s">
        <v>105</v>
      </c>
      <c r="H687" s="26" t="s">
        <v>313</v>
      </c>
      <c r="I687" s="28">
        <f>K686</f>
        <v>484.14400000000001</v>
      </c>
      <c r="J687" s="31">
        <f>C20*0.05</f>
        <v>8.3509999999999991</v>
      </c>
      <c r="K687" s="39">
        <f>I687+J687</f>
        <v>492.495</v>
      </c>
      <c r="O687" s="35" t="s">
        <v>48</v>
      </c>
      <c r="S687" s="144" t="s">
        <v>363</v>
      </c>
      <c r="U687" s="28" t="s">
        <v>989</v>
      </c>
      <c r="V687" s="144" t="s">
        <v>363</v>
      </c>
      <c r="X687" s="28">
        <f>X686*0.5%</f>
        <v>50.640531799999991</v>
      </c>
      <c r="Z687" s="28">
        <f>Z686*0.5/100</f>
        <v>50.14563179999999</v>
      </c>
      <c r="AG687" s="47" t="str">
        <f t="shared" si="81"/>
        <v>|</v>
      </c>
      <c r="AH687" s="28">
        <f>AH686/185.82</f>
        <v>44.16155419222904</v>
      </c>
      <c r="AI687" s="26" t="s">
        <v>685</v>
      </c>
    </row>
    <row r="688" spans="1:35" ht="30.75" customHeight="1">
      <c r="A688" s="50">
        <f t="shared" si="70"/>
        <v>486</v>
      </c>
      <c r="B688" s="51" t="s">
        <v>990</v>
      </c>
      <c r="C688" s="52">
        <v>60</v>
      </c>
      <c r="D688" s="51" t="s">
        <v>105</v>
      </c>
      <c r="H688" s="26" t="s">
        <v>316</v>
      </c>
      <c r="I688" s="28">
        <f>K687</f>
        <v>492.495</v>
      </c>
      <c r="J688" s="31">
        <f>J687</f>
        <v>8.3509999999999991</v>
      </c>
      <c r="K688" s="39">
        <f>I688+J688</f>
        <v>500.846</v>
      </c>
      <c r="M688" s="40">
        <v>1</v>
      </c>
      <c r="N688" s="26" t="s">
        <v>105</v>
      </c>
      <c r="O688" s="26" t="s">
        <v>991</v>
      </c>
      <c r="P688" s="40">
        <f>(C384)</f>
        <v>17.579999999999998</v>
      </c>
      <c r="Q688" s="26" t="s">
        <v>105</v>
      </c>
      <c r="R688" s="40">
        <f>(M688*P688)</f>
        <v>17.579999999999998</v>
      </c>
      <c r="T688" s="29"/>
      <c r="U688" s="41" t="s">
        <v>926</v>
      </c>
      <c r="W688" s="31"/>
      <c r="X688" s="39">
        <f>SUM(X686:X687)</f>
        <v>10178.746891799998</v>
      </c>
      <c r="Y688" s="39"/>
      <c r="Z688" s="41">
        <f>SUM(Z686:Z687)</f>
        <v>10079.271991799998</v>
      </c>
      <c r="AA688" s="145" t="s">
        <v>992</v>
      </c>
      <c r="AB688" s="145"/>
      <c r="AG688" s="47" t="str">
        <f t="shared" si="81"/>
        <v>|</v>
      </c>
      <c r="AH688" s="28">
        <f>AH686/1000</f>
        <v>8.2061000000000011</v>
      </c>
      <c r="AI688" s="26" t="s">
        <v>685</v>
      </c>
    </row>
    <row r="689" spans="1:35" ht="17.25" customHeight="1">
      <c r="A689" s="50">
        <f t="shared" si="70"/>
        <v>487</v>
      </c>
      <c r="B689" s="51" t="s">
        <v>993</v>
      </c>
      <c r="C689" s="52">
        <v>43.5</v>
      </c>
      <c r="D689" s="51" t="s">
        <v>105</v>
      </c>
      <c r="H689" s="26" t="s">
        <v>318</v>
      </c>
      <c r="I689" s="28">
        <f>K688</f>
        <v>500.846</v>
      </c>
      <c r="J689" s="31">
        <f>J688</f>
        <v>8.3509999999999991</v>
      </c>
      <c r="K689" s="39">
        <f>I689+J689</f>
        <v>509.197</v>
      </c>
      <c r="N689" s="26" t="s">
        <v>106</v>
      </c>
      <c r="O689" s="26" t="s">
        <v>964</v>
      </c>
      <c r="Q689" s="26" t="s">
        <v>106</v>
      </c>
      <c r="R689" s="40">
        <v>2.09</v>
      </c>
      <c r="T689" s="29"/>
      <c r="W689" s="31"/>
      <c r="X689" s="35" t="s">
        <v>48</v>
      </c>
      <c r="Y689" s="35"/>
      <c r="AG689" s="47" t="str">
        <f t="shared" si="81"/>
        <v>|</v>
      </c>
      <c r="AH689" s="28">
        <f>185.82*10.764</f>
        <v>2000.1664799999999</v>
      </c>
      <c r="AI689" s="26" t="s">
        <v>685</v>
      </c>
    </row>
    <row r="690" spans="1:35" ht="24" customHeight="1">
      <c r="A690" s="50">
        <f t="shared" si="70"/>
        <v>488</v>
      </c>
      <c r="B690" s="51" t="s">
        <v>994</v>
      </c>
      <c r="C690" s="52">
        <v>75</v>
      </c>
      <c r="D690" s="51" t="s">
        <v>105</v>
      </c>
      <c r="H690" s="26" t="s">
        <v>707</v>
      </c>
      <c r="I690" s="28">
        <f>K689</f>
        <v>509.197</v>
      </c>
      <c r="J690" s="31">
        <f>J689</f>
        <v>8.3509999999999991</v>
      </c>
      <c r="K690" s="39">
        <f>I690+J690</f>
        <v>517.548</v>
      </c>
      <c r="O690" s="26" t="s">
        <v>968</v>
      </c>
      <c r="R690" s="26" t="s">
        <v>27</v>
      </c>
      <c r="T690" s="29"/>
      <c r="U690" s="26" t="s">
        <v>309</v>
      </c>
      <c r="W690" s="31"/>
      <c r="X690" s="39">
        <f>(X688+C22)</f>
        <v>10304.606891799998</v>
      </c>
      <c r="Y690" s="39"/>
      <c r="AG690" s="47" t="str">
        <f t="shared" si="81"/>
        <v>|</v>
      </c>
      <c r="AH690" s="28">
        <f>AH686/AH689</f>
        <v>4.1027084905452478</v>
      </c>
      <c r="AI690" s="26" t="s">
        <v>685</v>
      </c>
    </row>
    <row r="691" spans="1:35" ht="24" customHeight="1">
      <c r="A691" s="50">
        <f t="shared" si="70"/>
        <v>489</v>
      </c>
      <c r="B691" s="51" t="s">
        <v>995</v>
      </c>
      <c r="C691" s="52">
        <v>52</v>
      </c>
      <c r="D691" s="51" t="s">
        <v>105</v>
      </c>
      <c r="F691" s="27" t="s">
        <v>996</v>
      </c>
      <c r="H691" s="26" t="s">
        <v>941</v>
      </c>
      <c r="R691" s="35" t="s">
        <v>48</v>
      </c>
      <c r="T691" s="29"/>
      <c r="U691" s="26" t="s">
        <v>313</v>
      </c>
      <c r="W691" s="31"/>
      <c r="X691" s="39">
        <f>(X690+C24)</f>
        <v>10552.406891799998</v>
      </c>
      <c r="Y691" s="39"/>
      <c r="AG691" s="47" t="str">
        <f t="shared" si="81"/>
        <v>|</v>
      </c>
      <c r="AH691" s="28">
        <f>924.2/8.21</f>
        <v>112.5700365408039</v>
      </c>
      <c r="AI691" s="26" t="s">
        <v>685</v>
      </c>
    </row>
    <row r="692" spans="1:35" ht="24" customHeight="1">
      <c r="A692" s="50">
        <f t="shared" si="70"/>
        <v>490</v>
      </c>
      <c r="B692" s="51" t="s">
        <v>986</v>
      </c>
      <c r="C692" s="52">
        <v>35.25</v>
      </c>
      <c r="D692" s="51" t="s">
        <v>105</v>
      </c>
      <c r="H692" s="26" t="s">
        <v>997</v>
      </c>
      <c r="O692" s="26" t="s">
        <v>976</v>
      </c>
      <c r="R692" s="40">
        <f>SUM(R688:R690)</f>
        <v>19.669999999999998</v>
      </c>
      <c r="T692" s="29"/>
      <c r="U692" s="26" t="s">
        <v>316</v>
      </c>
      <c r="W692" s="31"/>
      <c r="X692" s="39">
        <f>(X691+C24)</f>
        <v>10800.206891799997</v>
      </c>
      <c r="Y692" s="39"/>
      <c r="AG692" s="47" t="str">
        <f t="shared" si="81"/>
        <v>|</v>
      </c>
      <c r="AI692" s="26" t="s">
        <v>685</v>
      </c>
    </row>
    <row r="693" spans="1:35" ht="24" customHeight="1">
      <c r="A693" s="50">
        <f t="shared" si="70"/>
        <v>491</v>
      </c>
      <c r="B693" s="51" t="s">
        <v>998</v>
      </c>
      <c r="C693" s="52">
        <v>37.5</v>
      </c>
      <c r="D693" s="51" t="s">
        <v>105</v>
      </c>
      <c r="H693" s="26" t="s">
        <v>945</v>
      </c>
      <c r="R693" s="35" t="s">
        <v>48</v>
      </c>
      <c r="T693" s="29"/>
      <c r="U693" s="26" t="s">
        <v>318</v>
      </c>
      <c r="W693" s="31"/>
      <c r="X693" s="39">
        <f>(X692+C24)</f>
        <v>11048.006891799996</v>
      </c>
      <c r="Y693" s="39"/>
      <c r="AG693" s="47" t="str">
        <f t="shared" si="81"/>
        <v>|</v>
      </c>
      <c r="AI693" s="26" t="s">
        <v>685</v>
      </c>
    </row>
    <row r="694" spans="1:35" ht="24" customHeight="1">
      <c r="A694" s="50">
        <f t="shared" si="70"/>
        <v>492</v>
      </c>
      <c r="B694" s="51" t="s">
        <v>999</v>
      </c>
      <c r="C694" s="52">
        <v>24</v>
      </c>
      <c r="D694" s="51" t="s">
        <v>105</v>
      </c>
      <c r="H694" s="26" t="s">
        <v>949</v>
      </c>
      <c r="O694" s="28" t="s">
        <v>49</v>
      </c>
      <c r="T694" s="29"/>
      <c r="U694" s="26" t="s">
        <v>407</v>
      </c>
      <c r="W694" s="31"/>
      <c r="X694" s="39">
        <f>(X693+C24)</f>
        <v>11295.806891799995</v>
      </c>
      <c r="Y694" s="39"/>
      <c r="AG694" s="47" t="str">
        <f t="shared" si="81"/>
        <v>|</v>
      </c>
      <c r="AI694" s="26" t="s">
        <v>685</v>
      </c>
    </row>
    <row r="695" spans="1:35" ht="24" customHeight="1">
      <c r="A695" s="50">
        <f t="shared" si="70"/>
        <v>493</v>
      </c>
      <c r="B695" s="51" t="s">
        <v>1000</v>
      </c>
      <c r="C695" s="52">
        <v>16</v>
      </c>
      <c r="D695" s="51" t="s">
        <v>105</v>
      </c>
      <c r="H695" s="26" t="s">
        <v>953</v>
      </c>
      <c r="N695" s="26" t="s">
        <v>67</v>
      </c>
      <c r="O695" s="26" t="s">
        <v>1001</v>
      </c>
      <c r="AG695" s="47" t="str">
        <f t="shared" si="81"/>
        <v>|</v>
      </c>
      <c r="AI695" s="26" t="s">
        <v>685</v>
      </c>
    </row>
    <row r="696" spans="1:35" ht="24" customHeight="1">
      <c r="A696" s="50">
        <f t="shared" si="70"/>
        <v>494</v>
      </c>
      <c r="B696" s="26" t="s">
        <v>1002</v>
      </c>
      <c r="C696" s="47">
        <v>31.5</v>
      </c>
      <c r="D696" s="51" t="s">
        <v>105</v>
      </c>
      <c r="H696" s="26" t="s">
        <v>957</v>
      </c>
      <c r="O696" s="26" t="s">
        <v>954</v>
      </c>
      <c r="AG696" s="47" t="str">
        <f t="shared" si="81"/>
        <v>|</v>
      </c>
      <c r="AI696" s="26" t="s">
        <v>685</v>
      </c>
    </row>
    <row r="697" spans="1:35" ht="24" customHeight="1">
      <c r="A697" s="50">
        <f t="shared" si="70"/>
        <v>495</v>
      </c>
      <c r="B697" s="51" t="s">
        <v>1003</v>
      </c>
      <c r="C697" s="52">
        <v>6</v>
      </c>
      <c r="D697" s="51" t="s">
        <v>105</v>
      </c>
      <c r="H697" s="26" t="s">
        <v>1004</v>
      </c>
      <c r="O697" s="35" t="s">
        <v>48</v>
      </c>
      <c r="AG697" s="47" t="str">
        <f t="shared" si="81"/>
        <v>|</v>
      </c>
      <c r="AI697" s="26" t="s">
        <v>685</v>
      </c>
    </row>
    <row r="698" spans="1:35" ht="24" customHeight="1">
      <c r="A698" s="50">
        <f t="shared" si="70"/>
        <v>496</v>
      </c>
      <c r="B698" s="51" t="s">
        <v>1005</v>
      </c>
      <c r="C698" s="52">
        <v>152.5</v>
      </c>
      <c r="D698" s="51" t="s">
        <v>244</v>
      </c>
      <c r="E698" s="105">
        <v>98.6</v>
      </c>
      <c r="F698" s="28" t="s">
        <v>1006</v>
      </c>
      <c r="H698" s="35" t="s">
        <v>48</v>
      </c>
      <c r="I698" s="35" t="s">
        <v>48</v>
      </c>
      <c r="M698" s="40">
        <v>1</v>
      </c>
      <c r="N698" s="26" t="s">
        <v>105</v>
      </c>
      <c r="O698" s="26" t="s">
        <v>1007</v>
      </c>
      <c r="P698" s="40">
        <f>(C385)</f>
        <v>19.3</v>
      </c>
      <c r="Q698" s="26" t="s">
        <v>105</v>
      </c>
      <c r="R698" s="40">
        <f>(M698*P698)</f>
        <v>19.3</v>
      </c>
      <c r="AG698" s="47" t="str">
        <f t="shared" si="81"/>
        <v>|</v>
      </c>
      <c r="AI698" s="26" t="s">
        <v>685</v>
      </c>
    </row>
    <row r="699" spans="1:35" ht="24" customHeight="1">
      <c r="A699" s="50">
        <f t="shared" si="70"/>
        <v>497</v>
      </c>
      <c r="B699" s="51" t="s">
        <v>1008</v>
      </c>
      <c r="C699" s="52">
        <v>108.68</v>
      </c>
      <c r="D699" s="51" t="s">
        <v>105</v>
      </c>
      <c r="F699" s="40">
        <v>1</v>
      </c>
      <c r="G699" s="38" t="s">
        <v>438</v>
      </c>
      <c r="H699" s="26" t="s">
        <v>1009</v>
      </c>
      <c r="I699" s="40">
        <f>C76</f>
        <v>460</v>
      </c>
      <c r="J699" s="26" t="s">
        <v>438</v>
      </c>
      <c r="K699" s="40">
        <f>(F699*I699)</f>
        <v>460</v>
      </c>
      <c r="N699" s="26" t="s">
        <v>106</v>
      </c>
      <c r="O699" s="26" t="s">
        <v>964</v>
      </c>
      <c r="Q699" s="26" t="s">
        <v>106</v>
      </c>
      <c r="R699" s="40">
        <v>2.09</v>
      </c>
      <c r="AG699" s="47" t="str">
        <f t="shared" si="81"/>
        <v>|</v>
      </c>
      <c r="AI699" s="26" t="s">
        <v>685</v>
      </c>
    </row>
    <row r="700" spans="1:35" ht="24" customHeight="1">
      <c r="A700" s="50">
        <f t="shared" si="70"/>
        <v>498</v>
      </c>
      <c r="B700" s="51" t="s">
        <v>1010</v>
      </c>
      <c r="C700" s="52">
        <v>119.89</v>
      </c>
      <c r="D700" s="51" t="s">
        <v>105</v>
      </c>
      <c r="F700" s="40">
        <v>1</v>
      </c>
      <c r="G700" s="38" t="s">
        <v>438</v>
      </c>
      <c r="H700" s="26" t="s">
        <v>972</v>
      </c>
      <c r="I700" s="40">
        <f>C75</f>
        <v>175</v>
      </c>
      <c r="J700" s="26" t="s">
        <v>438</v>
      </c>
      <c r="K700" s="40">
        <f>(F700*I700)</f>
        <v>175</v>
      </c>
      <c r="O700" s="26" t="s">
        <v>968</v>
      </c>
      <c r="R700" s="26" t="s">
        <v>27</v>
      </c>
      <c r="AG700" s="47" t="str">
        <f t="shared" si="81"/>
        <v>|</v>
      </c>
      <c r="AI700" s="26" t="s">
        <v>685</v>
      </c>
    </row>
    <row r="701" spans="1:35" ht="24" customHeight="1">
      <c r="A701" s="50">
        <f t="shared" si="70"/>
        <v>499</v>
      </c>
      <c r="B701" s="51" t="s">
        <v>1011</v>
      </c>
      <c r="C701" s="52">
        <v>297.44</v>
      </c>
      <c r="D701" s="51" t="s">
        <v>105</v>
      </c>
      <c r="F701" s="40">
        <v>1</v>
      </c>
      <c r="G701" s="38" t="s">
        <v>106</v>
      </c>
      <c r="H701" s="26" t="s">
        <v>975</v>
      </c>
      <c r="I701" s="104">
        <v>15</v>
      </c>
      <c r="J701" s="26" t="s">
        <v>106</v>
      </c>
      <c r="K701" s="40">
        <f>(F701*I701)</f>
        <v>15</v>
      </c>
      <c r="R701" s="35" t="s">
        <v>48</v>
      </c>
      <c r="AG701" s="47" t="str">
        <f t="shared" si="81"/>
        <v>|</v>
      </c>
      <c r="AI701" s="26" t="s">
        <v>685</v>
      </c>
    </row>
    <row r="702" spans="1:35" ht="24" customHeight="1">
      <c r="A702" s="50">
        <f t="shared" si="70"/>
        <v>500</v>
      </c>
      <c r="B702" s="51" t="s">
        <v>1012</v>
      </c>
      <c r="C702" s="52">
        <v>28.6</v>
      </c>
      <c r="D702" s="51" t="s">
        <v>105</v>
      </c>
      <c r="H702" s="26" t="s">
        <v>107</v>
      </c>
      <c r="J702" s="26" t="s">
        <v>106</v>
      </c>
      <c r="K702" s="40">
        <v>0</v>
      </c>
      <c r="O702" s="26" t="s">
        <v>976</v>
      </c>
      <c r="R702" s="40">
        <f>SUM(R698:R700)</f>
        <v>21.39</v>
      </c>
      <c r="AG702" s="47" t="str">
        <f t="shared" si="81"/>
        <v>|</v>
      </c>
      <c r="AI702" s="26" t="s">
        <v>685</v>
      </c>
    </row>
    <row r="703" spans="1:35" ht="24" customHeight="1">
      <c r="A703" s="50">
        <f t="shared" ref="A703" si="82">(A702+1)</f>
        <v>501</v>
      </c>
      <c r="B703" s="51" t="s">
        <v>1013</v>
      </c>
      <c r="C703" s="52">
        <v>228.86</v>
      </c>
      <c r="D703" s="51" t="s">
        <v>105</v>
      </c>
      <c r="K703" s="35" t="s">
        <v>48</v>
      </c>
      <c r="R703" s="35" t="s">
        <v>48</v>
      </c>
      <c r="AG703" s="47" t="str">
        <f t="shared" si="81"/>
        <v>|</v>
      </c>
      <c r="AI703" s="26" t="s">
        <v>685</v>
      </c>
    </row>
    <row r="704" spans="1:35" ht="24" customHeight="1">
      <c r="A704" s="66"/>
      <c r="B704" s="66" t="s">
        <v>1014</v>
      </c>
      <c r="C704" s="105">
        <v>2828</v>
      </c>
      <c r="D704" s="66" t="s">
        <v>438</v>
      </c>
      <c r="H704" s="26" t="s">
        <v>403</v>
      </c>
      <c r="K704" s="40">
        <f>SUM(K699:K702)</f>
        <v>650</v>
      </c>
      <c r="U704" s="41" t="s">
        <v>1015</v>
      </c>
      <c r="AG704" s="47" t="str">
        <f t="shared" si="81"/>
        <v>|</v>
      </c>
      <c r="AI704" s="26" t="s">
        <v>685</v>
      </c>
    </row>
    <row r="705" spans="1:35" ht="24" customHeight="1">
      <c r="A705" s="50">
        <f>(A703+1)</f>
        <v>502</v>
      </c>
      <c r="B705" s="51" t="s">
        <v>1016</v>
      </c>
      <c r="C705" s="52">
        <v>70.47</v>
      </c>
      <c r="D705" s="51" t="s">
        <v>105</v>
      </c>
      <c r="H705" s="26" t="s">
        <v>983</v>
      </c>
      <c r="K705" s="35" t="s">
        <v>41</v>
      </c>
      <c r="S705" s="32">
        <v>5</v>
      </c>
      <c r="T705" s="28" t="s">
        <v>475</v>
      </c>
      <c r="U705" s="28" t="s">
        <v>951</v>
      </c>
      <c r="V705" s="28">
        <f>AE14</f>
        <v>2923.8</v>
      </c>
      <c r="X705" s="28">
        <f>V705*S705</f>
        <v>14619</v>
      </c>
      <c r="AA705" s="28">
        <f>X705</f>
        <v>14619</v>
      </c>
      <c r="AG705" s="47" t="str">
        <f t="shared" si="81"/>
        <v>|</v>
      </c>
      <c r="AI705" s="26" t="s">
        <v>685</v>
      </c>
    </row>
    <row r="706" spans="1:35" ht="24" customHeight="1">
      <c r="A706" s="50">
        <f t="shared" ref="A706:A763" si="83">(A705+1)</f>
        <v>503</v>
      </c>
      <c r="B706" s="51" t="s">
        <v>1017</v>
      </c>
      <c r="C706" s="52">
        <v>133.62</v>
      </c>
      <c r="D706" s="51" t="s">
        <v>105</v>
      </c>
      <c r="H706" s="26" t="s">
        <v>309</v>
      </c>
      <c r="I706" s="28">
        <f>K704</f>
        <v>650</v>
      </c>
      <c r="J706" s="26">
        <f>C19*0.11</f>
        <v>9.1167999999999996</v>
      </c>
      <c r="K706" s="39">
        <f>I706+J706</f>
        <v>659.11680000000001</v>
      </c>
      <c r="N706" s="26" t="s">
        <v>67</v>
      </c>
      <c r="O706" s="26" t="s">
        <v>1018</v>
      </c>
      <c r="S706" s="32">
        <v>3.3</v>
      </c>
      <c r="T706" s="28" t="s">
        <v>475</v>
      </c>
      <c r="U706" s="28" t="s">
        <v>955</v>
      </c>
      <c r="V706" s="28">
        <f>(AE12+AE13)/2</f>
        <v>2651.3</v>
      </c>
      <c r="X706" s="28">
        <f t="shared" ref="X706:X712" si="84">V706*S706</f>
        <v>8749.2900000000009</v>
      </c>
      <c r="AA706" s="28">
        <f t="shared" ref="AA706:AA714" si="85">X706</f>
        <v>8749.2900000000009</v>
      </c>
      <c r="AG706" s="47" t="str">
        <f t="shared" si="81"/>
        <v>|</v>
      </c>
      <c r="AI706" s="26" t="s">
        <v>685</v>
      </c>
    </row>
    <row r="707" spans="1:35" ht="24" customHeight="1">
      <c r="A707" s="50">
        <f t="shared" si="83"/>
        <v>504</v>
      </c>
      <c r="B707" s="51" t="s">
        <v>1019</v>
      </c>
      <c r="C707" s="52">
        <v>133.62</v>
      </c>
      <c r="D707" s="51" t="s">
        <v>105</v>
      </c>
      <c r="H707" s="26" t="s">
        <v>313</v>
      </c>
      <c r="I707" s="28">
        <f>K706</f>
        <v>659.11680000000001</v>
      </c>
      <c r="J707" s="31">
        <f>C20*0.11</f>
        <v>18.372199999999999</v>
      </c>
      <c r="K707" s="39">
        <f>I707+J707</f>
        <v>677.48900000000003</v>
      </c>
      <c r="O707" s="26" t="s">
        <v>1020</v>
      </c>
      <c r="S707" s="32">
        <v>4.79</v>
      </c>
      <c r="T707" s="28" t="s">
        <v>475</v>
      </c>
      <c r="U707" s="28" t="s">
        <v>958</v>
      </c>
      <c r="V707" s="28">
        <f>V644</f>
        <v>2765.84</v>
      </c>
      <c r="X707" s="28">
        <f t="shared" si="84"/>
        <v>13248.373600000001</v>
      </c>
      <c r="AA707" s="28">
        <f t="shared" si="85"/>
        <v>13248.373600000001</v>
      </c>
      <c r="AG707" s="47" t="str">
        <f t="shared" si="81"/>
        <v>|</v>
      </c>
      <c r="AI707" s="26" t="s">
        <v>685</v>
      </c>
    </row>
    <row r="708" spans="1:35" ht="24" customHeight="1">
      <c r="A708" s="50">
        <f t="shared" si="83"/>
        <v>505</v>
      </c>
      <c r="B708" s="51" t="s">
        <v>1021</v>
      </c>
      <c r="C708" s="52">
        <v>215</v>
      </c>
      <c r="D708" s="51" t="s">
        <v>105</v>
      </c>
      <c r="H708" s="26" t="s">
        <v>316</v>
      </c>
      <c r="I708" s="28">
        <f>K707</f>
        <v>677.48900000000003</v>
      </c>
      <c r="J708" s="31">
        <f>J707</f>
        <v>18.372199999999999</v>
      </c>
      <c r="K708" s="39">
        <f>I708+J708</f>
        <v>695.86120000000005</v>
      </c>
      <c r="O708" s="35" t="s">
        <v>48</v>
      </c>
      <c r="S708" s="32">
        <v>3.25</v>
      </c>
      <c r="T708" s="28" t="s">
        <v>962</v>
      </c>
      <c r="U708" s="28" t="s">
        <v>26</v>
      </c>
      <c r="V708" s="28">
        <f>V643</f>
        <v>5800</v>
      </c>
      <c r="X708" s="28">
        <f t="shared" si="84"/>
        <v>18850</v>
      </c>
      <c r="AA708" s="28">
        <f t="shared" si="85"/>
        <v>18850</v>
      </c>
      <c r="AG708" s="47" t="str">
        <f t="shared" si="81"/>
        <v>|</v>
      </c>
      <c r="AI708" s="26" t="s">
        <v>685</v>
      </c>
    </row>
    <row r="709" spans="1:35" ht="30.75" customHeight="1">
      <c r="A709" s="50">
        <f t="shared" si="83"/>
        <v>506</v>
      </c>
      <c r="B709" s="51" t="s">
        <v>1022</v>
      </c>
      <c r="C709" s="52">
        <v>215</v>
      </c>
      <c r="D709" s="51" t="s">
        <v>105</v>
      </c>
      <c r="H709" s="26" t="s">
        <v>318</v>
      </c>
      <c r="I709" s="28">
        <f>K708</f>
        <v>695.86120000000005</v>
      </c>
      <c r="J709" s="31">
        <f>J708</f>
        <v>18.372199999999999</v>
      </c>
      <c r="K709" s="39">
        <f>I709+J709</f>
        <v>714.23340000000007</v>
      </c>
      <c r="M709" s="40">
        <v>1</v>
      </c>
      <c r="N709" s="26" t="s">
        <v>105</v>
      </c>
      <c r="O709" s="26" t="s">
        <v>1023</v>
      </c>
      <c r="P709" s="40">
        <f>(C393/1*0.3)</f>
        <v>38.4</v>
      </c>
      <c r="Q709" s="26" t="s">
        <v>105</v>
      </c>
      <c r="R709" s="40">
        <f>(M709*P709)</f>
        <v>38.4</v>
      </c>
      <c r="S709" s="32">
        <f>3250*0.6%</f>
        <v>19.5</v>
      </c>
      <c r="T709" s="28" t="s">
        <v>392</v>
      </c>
      <c r="U709" s="146" t="s">
        <v>1024</v>
      </c>
      <c r="V709" s="28">
        <f>V648</f>
        <v>42.4</v>
      </c>
      <c r="X709" s="28">
        <f t="shared" si="84"/>
        <v>826.8</v>
      </c>
      <c r="AA709" s="28">
        <f t="shared" si="85"/>
        <v>826.8</v>
      </c>
      <c r="AG709" s="47" t="str">
        <f t="shared" si="81"/>
        <v>|</v>
      </c>
      <c r="AI709" s="26" t="s">
        <v>685</v>
      </c>
    </row>
    <row r="710" spans="1:35" ht="24" customHeight="1">
      <c r="A710" s="50">
        <f t="shared" si="83"/>
        <v>507</v>
      </c>
      <c r="B710" s="51" t="s">
        <v>1025</v>
      </c>
      <c r="C710" s="52">
        <v>107.64</v>
      </c>
      <c r="D710" s="51" t="s">
        <v>438</v>
      </c>
      <c r="H710" s="26" t="s">
        <v>707</v>
      </c>
      <c r="I710" s="28">
        <f>K709</f>
        <v>714.23340000000007</v>
      </c>
      <c r="J710" s="31">
        <f>J709</f>
        <v>18.372199999999999</v>
      </c>
      <c r="K710" s="39">
        <f>I710+J710</f>
        <v>732.60560000000009</v>
      </c>
      <c r="N710" s="26" t="s">
        <v>106</v>
      </c>
      <c r="O710" s="26" t="s">
        <v>964</v>
      </c>
      <c r="Q710" s="26" t="s">
        <v>106</v>
      </c>
      <c r="R710" s="40">
        <v>1.65</v>
      </c>
      <c r="S710" s="32">
        <v>3.5</v>
      </c>
      <c r="T710" s="28" t="s">
        <v>969</v>
      </c>
      <c r="U710" s="28" t="s">
        <v>970</v>
      </c>
      <c r="V710" s="28">
        <f>C11</f>
        <v>1005.1999999999999</v>
      </c>
      <c r="W710" s="28">
        <f>J719</f>
        <v>0</v>
      </c>
      <c r="X710" s="28">
        <f t="shared" si="84"/>
        <v>3518.2</v>
      </c>
      <c r="AA710" s="28">
        <f t="shared" si="85"/>
        <v>3518.2</v>
      </c>
      <c r="AG710" s="47" t="str">
        <f t="shared" si="81"/>
        <v>|</v>
      </c>
      <c r="AI710" s="26" t="s">
        <v>685</v>
      </c>
    </row>
    <row r="711" spans="1:35" ht="24" customHeight="1">
      <c r="A711" s="50">
        <f t="shared" si="83"/>
        <v>508</v>
      </c>
      <c r="B711" s="51" t="s">
        <v>1026</v>
      </c>
      <c r="C711" s="66"/>
      <c r="D711" s="66"/>
      <c r="F711" s="26" t="s">
        <v>27</v>
      </c>
      <c r="O711" s="26" t="s">
        <v>968</v>
      </c>
      <c r="R711" s="26" t="s">
        <v>27</v>
      </c>
      <c r="S711" s="32">
        <v>21.2</v>
      </c>
      <c r="T711" s="28" t="s">
        <v>969</v>
      </c>
      <c r="U711" s="28" t="s">
        <v>973</v>
      </c>
      <c r="V711" s="28">
        <f>C12</f>
        <v>702.8</v>
      </c>
      <c r="X711" s="28">
        <f t="shared" si="84"/>
        <v>14899.359999999999</v>
      </c>
      <c r="AA711" s="28">
        <f t="shared" si="85"/>
        <v>14899.359999999999</v>
      </c>
      <c r="AG711" s="47" t="str">
        <f t="shared" si="81"/>
        <v>|</v>
      </c>
      <c r="AI711" s="26" t="s">
        <v>685</v>
      </c>
    </row>
    <row r="712" spans="1:35" ht="24" customHeight="1">
      <c r="A712" s="50">
        <f t="shared" si="83"/>
        <v>509</v>
      </c>
      <c r="B712" s="51" t="s">
        <v>1027</v>
      </c>
      <c r="C712" s="49">
        <v>6</v>
      </c>
      <c r="D712" s="51" t="s">
        <v>105</v>
      </c>
      <c r="R712" s="35" t="s">
        <v>48</v>
      </c>
      <c r="S712" s="32">
        <v>35.299999999999997</v>
      </c>
      <c r="T712" s="28" t="s">
        <v>969</v>
      </c>
      <c r="U712" s="28" t="s">
        <v>977</v>
      </c>
      <c r="V712" s="28">
        <f>C13</f>
        <v>576.79999999999995</v>
      </c>
      <c r="X712" s="28">
        <f t="shared" si="84"/>
        <v>20361.039999999997</v>
      </c>
      <c r="AA712" s="28">
        <f t="shared" si="85"/>
        <v>20361.039999999997</v>
      </c>
      <c r="AG712" s="47" t="str">
        <f t="shared" si="81"/>
        <v>|</v>
      </c>
      <c r="AI712" s="26" t="s">
        <v>685</v>
      </c>
    </row>
    <row r="713" spans="1:35" ht="24" customHeight="1">
      <c r="A713" s="50">
        <f t="shared" si="83"/>
        <v>510</v>
      </c>
      <c r="B713" s="51" t="s">
        <v>613</v>
      </c>
      <c r="C713" s="49">
        <v>7.3</v>
      </c>
      <c r="D713" s="51" t="s">
        <v>105</v>
      </c>
      <c r="F713" s="27" t="s">
        <v>178</v>
      </c>
      <c r="H713" s="26" t="s">
        <v>1028</v>
      </c>
      <c r="O713" s="26" t="s">
        <v>976</v>
      </c>
      <c r="R713" s="40">
        <f>SUM(R709:R711)</f>
        <v>40.049999999999997</v>
      </c>
      <c r="U713" s="28" t="s">
        <v>979</v>
      </c>
      <c r="V713" s="28">
        <f>V683</f>
        <v>0</v>
      </c>
      <c r="X713" s="41">
        <f>SUM(X705:X712)</f>
        <v>95072.063599999994</v>
      </c>
      <c r="Y713" s="41"/>
      <c r="AA713" s="28">
        <f t="shared" si="85"/>
        <v>95072.063599999994</v>
      </c>
      <c r="AG713" s="47" t="str">
        <f t="shared" si="81"/>
        <v>|</v>
      </c>
      <c r="AI713" s="26" t="s">
        <v>685</v>
      </c>
    </row>
    <row r="714" spans="1:35" ht="27" customHeight="1">
      <c r="A714" s="50">
        <f t="shared" si="83"/>
        <v>511</v>
      </c>
      <c r="B714" s="51" t="s">
        <v>615</v>
      </c>
      <c r="C714" s="49">
        <v>9.6999999999999993</v>
      </c>
      <c r="D714" s="51" t="s">
        <v>105</v>
      </c>
      <c r="H714" s="26" t="s">
        <v>1029</v>
      </c>
      <c r="R714" s="35" t="s">
        <v>48</v>
      </c>
      <c r="U714" s="28" t="s">
        <v>981</v>
      </c>
      <c r="V714" s="28">
        <f>V684</f>
        <v>0</v>
      </c>
      <c r="X714" s="41">
        <f>X713/10</f>
        <v>9507.2063600000001</v>
      </c>
      <c r="Y714" s="41"/>
      <c r="AA714" s="28">
        <f t="shared" si="85"/>
        <v>9507.2063600000001</v>
      </c>
      <c r="AG714" s="47" t="str">
        <f t="shared" si="81"/>
        <v>|</v>
      </c>
      <c r="AI714" s="26" t="s">
        <v>685</v>
      </c>
    </row>
    <row r="715" spans="1:35" ht="24" customHeight="1">
      <c r="A715" s="50">
        <f t="shared" si="83"/>
        <v>512</v>
      </c>
      <c r="B715" s="51" t="s">
        <v>616</v>
      </c>
      <c r="C715" s="49">
        <v>14.6</v>
      </c>
      <c r="D715" s="51" t="s">
        <v>105</v>
      </c>
      <c r="H715" s="26" t="s">
        <v>1030</v>
      </c>
      <c r="O715" s="27" t="s">
        <v>1031</v>
      </c>
      <c r="R715" s="26" t="s">
        <v>27</v>
      </c>
      <c r="S715" s="32">
        <v>1</v>
      </c>
      <c r="T715" s="28" t="s">
        <v>475</v>
      </c>
      <c r="U715" s="28" t="s">
        <v>985</v>
      </c>
      <c r="V715" s="28">
        <f>C25</f>
        <v>98.98</v>
      </c>
      <c r="X715" s="28">
        <f>V715*S715</f>
        <v>98.98</v>
      </c>
      <c r="AG715" s="47" t="str">
        <f t="shared" si="81"/>
        <v>|</v>
      </c>
      <c r="AI715" s="26" t="s">
        <v>685</v>
      </c>
    </row>
    <row r="716" spans="1:35" ht="24" customHeight="1">
      <c r="A716" s="50">
        <f t="shared" si="83"/>
        <v>513</v>
      </c>
      <c r="B716" s="51" t="s">
        <v>617</v>
      </c>
      <c r="C716" s="49">
        <v>19.600000000000001</v>
      </c>
      <c r="D716" s="51" t="s">
        <v>105</v>
      </c>
      <c r="H716" s="35" t="s">
        <v>48</v>
      </c>
      <c r="M716" s="107"/>
      <c r="O716" s="27" t="s">
        <v>1032</v>
      </c>
      <c r="U716" s="28" t="s">
        <v>987</v>
      </c>
      <c r="V716" s="28">
        <f>V686</f>
        <v>0</v>
      </c>
      <c r="X716" s="41">
        <f>SUM(X714:X715)</f>
        <v>9606.1863599999997</v>
      </c>
      <c r="Y716" s="41"/>
      <c r="AA716" s="28">
        <f>AA714</f>
        <v>9507.2063600000001</v>
      </c>
      <c r="AG716" s="47" t="str">
        <f t="shared" si="81"/>
        <v>|</v>
      </c>
      <c r="AI716" s="26" t="s">
        <v>685</v>
      </c>
    </row>
    <row r="717" spans="1:35" ht="24" customHeight="1">
      <c r="A717" s="50">
        <f t="shared" si="83"/>
        <v>514</v>
      </c>
      <c r="B717" s="51" t="s">
        <v>1033</v>
      </c>
      <c r="C717" s="66"/>
      <c r="D717" s="51" t="s">
        <v>27</v>
      </c>
      <c r="F717" s="40">
        <v>0.4</v>
      </c>
      <c r="G717" s="38" t="s">
        <v>93</v>
      </c>
      <c r="H717" s="26" t="s">
        <v>1034</v>
      </c>
      <c r="I717" s="40">
        <f>(C268)</f>
        <v>17600</v>
      </c>
      <c r="J717" s="26" t="s">
        <v>93</v>
      </c>
      <c r="K717" s="40">
        <f>(F717*I717)</f>
        <v>7040</v>
      </c>
      <c r="M717" s="27" t="s">
        <v>420</v>
      </c>
      <c r="N717" s="26" t="s">
        <v>1035</v>
      </c>
      <c r="O717" s="26" t="s">
        <v>1036</v>
      </c>
      <c r="S717" s="144" t="s">
        <v>363</v>
      </c>
      <c r="U717" s="28" t="s">
        <v>989</v>
      </c>
      <c r="V717" s="28" t="str">
        <f>V687</f>
        <v>LS</v>
      </c>
      <c r="X717" s="28">
        <f>X716*0.5%</f>
        <v>48.030931799999998</v>
      </c>
      <c r="AA717" s="28">
        <f>AA716*0.5/100</f>
        <v>47.536031800000003</v>
      </c>
      <c r="AG717" s="47" t="str">
        <f t="shared" si="81"/>
        <v>|::</v>
      </c>
      <c r="AI717" s="26" t="s">
        <v>469</v>
      </c>
    </row>
    <row r="718" spans="1:35" ht="24" customHeight="1">
      <c r="A718" s="50">
        <f t="shared" si="83"/>
        <v>515</v>
      </c>
      <c r="B718" s="51" t="s">
        <v>562</v>
      </c>
      <c r="C718" s="52">
        <v>20</v>
      </c>
      <c r="D718" s="51" t="s">
        <v>105</v>
      </c>
      <c r="F718" s="40">
        <v>0.12</v>
      </c>
      <c r="G718" s="38" t="s">
        <v>93</v>
      </c>
      <c r="H718" s="26" t="s">
        <v>1037</v>
      </c>
      <c r="I718" s="40">
        <f>(C269)</f>
        <v>15500</v>
      </c>
      <c r="J718" s="26" t="s">
        <v>93</v>
      </c>
      <c r="K718" s="40">
        <f>(F718*I718)</f>
        <v>1860</v>
      </c>
      <c r="O718" s="35" t="s">
        <v>48</v>
      </c>
      <c r="T718" s="29"/>
      <c r="U718" s="41" t="s">
        <v>926</v>
      </c>
      <c r="W718" s="31"/>
      <c r="X718" s="39">
        <f>SUM(X716:X717)</f>
        <v>9654.2172917999997</v>
      </c>
      <c r="Y718" s="39"/>
      <c r="AA718" s="41">
        <f>SUM(AA716:AA717)</f>
        <v>9554.7423918000004</v>
      </c>
      <c r="AB718" s="41"/>
      <c r="AG718" s="47">
        <f t="shared" si="81"/>
        <v>0</v>
      </c>
    </row>
    <row r="719" spans="1:35" ht="24" customHeight="1">
      <c r="A719" s="50">
        <f t="shared" si="83"/>
        <v>516</v>
      </c>
      <c r="B719" s="51" t="s">
        <v>1038</v>
      </c>
      <c r="C719" s="52">
        <v>45</v>
      </c>
      <c r="D719" s="51" t="s">
        <v>105</v>
      </c>
      <c r="H719" s="26" t="s">
        <v>1039</v>
      </c>
      <c r="I719" s="26" t="s">
        <v>27</v>
      </c>
      <c r="K719" s="26" t="s">
        <v>27</v>
      </c>
      <c r="M719" s="107">
        <v>2.69E-2</v>
      </c>
      <c r="N719" s="26" t="s">
        <v>93</v>
      </c>
      <c r="O719" s="96" t="s">
        <v>1040</v>
      </c>
      <c r="P719" s="40">
        <f>C86</f>
        <v>34300</v>
      </c>
      <c r="Q719" s="26" t="s">
        <v>93</v>
      </c>
      <c r="R719" s="40">
        <f t="shared" ref="R719:R725" si="86">M719*P719</f>
        <v>922.67</v>
      </c>
      <c r="T719" s="29"/>
      <c r="W719" s="31"/>
      <c r="X719" s="35" t="s">
        <v>48</v>
      </c>
      <c r="Y719" s="35"/>
      <c r="AG719" s="47">
        <f t="shared" si="81"/>
        <v>0</v>
      </c>
    </row>
    <row r="720" spans="1:35" ht="24" customHeight="1">
      <c r="A720" s="50">
        <f t="shared" si="83"/>
        <v>517</v>
      </c>
      <c r="B720" s="51" t="s">
        <v>1041</v>
      </c>
      <c r="C720" s="66"/>
      <c r="D720" s="51" t="s">
        <v>49</v>
      </c>
      <c r="F720" s="40">
        <v>98.5</v>
      </c>
      <c r="G720" s="38" t="s">
        <v>244</v>
      </c>
      <c r="H720" s="26" t="s">
        <v>1042</v>
      </c>
      <c r="I720" s="40">
        <f>(C270)</f>
        <v>25.2</v>
      </c>
      <c r="J720" s="26" t="s">
        <v>244</v>
      </c>
      <c r="K720" s="40">
        <f>(F720*I720)</f>
        <v>2482.1999999999998</v>
      </c>
      <c r="M720" s="107">
        <v>1.2949999999999999</v>
      </c>
      <c r="N720" s="26" t="s">
        <v>438</v>
      </c>
      <c r="O720" s="26" t="s">
        <v>1043</v>
      </c>
      <c r="P720" s="40">
        <f>C783</f>
        <v>387.4</v>
      </c>
      <c r="Q720" s="26" t="s">
        <v>438</v>
      </c>
      <c r="R720" s="40">
        <f t="shared" si="86"/>
        <v>501.68299999999994</v>
      </c>
      <c r="T720" s="29"/>
      <c r="U720" s="26" t="s">
        <v>309</v>
      </c>
      <c r="W720" s="31"/>
      <c r="X720" s="39">
        <f>(X718+C22)</f>
        <v>9780.0772918000002</v>
      </c>
      <c r="Y720" s="39"/>
      <c r="AG720" s="47">
        <f t="shared" si="81"/>
        <v>0</v>
      </c>
    </row>
    <row r="721" spans="1:35" ht="24" customHeight="1">
      <c r="A721" s="50">
        <f t="shared" si="83"/>
        <v>518</v>
      </c>
      <c r="B721" s="51" t="s">
        <v>562</v>
      </c>
      <c r="C721" s="52">
        <v>19.09</v>
      </c>
      <c r="D721" s="51" t="s">
        <v>105</v>
      </c>
      <c r="H721" s="26" t="s">
        <v>1044</v>
      </c>
      <c r="I721" s="26" t="s">
        <v>27</v>
      </c>
      <c r="K721" s="26" t="s">
        <v>49</v>
      </c>
      <c r="M721" s="107">
        <v>1.8149999999999999</v>
      </c>
      <c r="N721" s="26" t="s">
        <v>438</v>
      </c>
      <c r="O721" s="26" t="s">
        <v>457</v>
      </c>
      <c r="P721" s="40">
        <f>C31</f>
        <v>1617</v>
      </c>
      <c r="Q721" s="26" t="s">
        <v>438</v>
      </c>
      <c r="R721" s="40">
        <f t="shared" si="86"/>
        <v>2934.855</v>
      </c>
      <c r="T721" s="29"/>
      <c r="U721" s="26" t="s">
        <v>313</v>
      </c>
      <c r="W721" s="31"/>
      <c r="X721" s="39">
        <f>(X720+C24)</f>
        <v>10027.8772918</v>
      </c>
      <c r="Y721" s="39"/>
      <c r="AG721" s="47" t="str">
        <f t="shared" si="81"/>
        <v>|</v>
      </c>
      <c r="AI721" s="26" t="s">
        <v>685</v>
      </c>
    </row>
    <row r="722" spans="1:35" ht="24" customHeight="1">
      <c r="A722" s="50">
        <f t="shared" si="83"/>
        <v>519</v>
      </c>
      <c r="B722" s="51" t="s">
        <v>1038</v>
      </c>
      <c r="C722" s="52">
        <v>50.66</v>
      </c>
      <c r="D722" s="51" t="s">
        <v>105</v>
      </c>
      <c r="K722" s="35" t="s">
        <v>48</v>
      </c>
      <c r="M722" s="40">
        <v>2</v>
      </c>
      <c r="N722" s="26" t="s">
        <v>105</v>
      </c>
      <c r="O722" s="26" t="s">
        <v>1045</v>
      </c>
      <c r="P722" s="40">
        <f>C299</f>
        <v>10.5</v>
      </c>
      <c r="Q722" s="26" t="s">
        <v>105</v>
      </c>
      <c r="R722" s="40">
        <f t="shared" si="86"/>
        <v>21</v>
      </c>
      <c r="T722" s="29"/>
      <c r="U722" s="26" t="s">
        <v>316</v>
      </c>
      <c r="W722" s="31"/>
      <c r="X722" s="39">
        <f>(X721+C24)</f>
        <v>10275.677291799999</v>
      </c>
      <c r="Y722" s="39"/>
      <c r="AG722" s="47" t="str">
        <f t="shared" si="81"/>
        <v>|</v>
      </c>
      <c r="AI722" s="26" t="s">
        <v>685</v>
      </c>
    </row>
    <row r="723" spans="1:35" ht="24" customHeight="1">
      <c r="A723" s="50">
        <f t="shared" si="83"/>
        <v>520</v>
      </c>
      <c r="B723" s="51" t="s">
        <v>1046</v>
      </c>
      <c r="C723" s="52">
        <v>1183.82</v>
      </c>
      <c r="D723" s="51" t="s">
        <v>438</v>
      </c>
      <c r="H723" s="26" t="s">
        <v>1047</v>
      </c>
      <c r="K723" s="40">
        <f>SUM(K717:K721)</f>
        <v>11382.2</v>
      </c>
      <c r="M723" s="40">
        <v>3</v>
      </c>
      <c r="N723" s="26" t="s">
        <v>105</v>
      </c>
      <c r="O723" s="26" t="s">
        <v>1048</v>
      </c>
      <c r="P723" s="40">
        <f>C295</f>
        <v>8.5</v>
      </c>
      <c r="Q723" s="26" t="s">
        <v>105</v>
      </c>
      <c r="R723" s="40">
        <f t="shared" si="86"/>
        <v>25.5</v>
      </c>
      <c r="T723" s="29"/>
      <c r="U723" s="26" t="s">
        <v>318</v>
      </c>
      <c r="W723" s="31"/>
      <c r="X723" s="39">
        <f>(X722+C24)</f>
        <v>10523.477291799998</v>
      </c>
      <c r="Y723" s="39"/>
      <c r="AG723" s="47" t="str">
        <f t="shared" si="81"/>
        <v>|</v>
      </c>
      <c r="AI723" s="26" t="s">
        <v>685</v>
      </c>
    </row>
    <row r="724" spans="1:35" ht="24" customHeight="1">
      <c r="A724" s="50">
        <f t="shared" si="83"/>
        <v>521</v>
      </c>
      <c r="B724" s="51" t="s">
        <v>1049</v>
      </c>
      <c r="C724" s="52">
        <v>1605</v>
      </c>
      <c r="D724" s="51" t="s">
        <v>438</v>
      </c>
      <c r="H724" s="26" t="s">
        <v>27</v>
      </c>
      <c r="K724" s="35" t="s">
        <v>48</v>
      </c>
      <c r="M724" s="40">
        <v>1</v>
      </c>
      <c r="N724" s="26" t="s">
        <v>105</v>
      </c>
      <c r="O724" s="26" t="s">
        <v>1050</v>
      </c>
      <c r="P724" s="40">
        <f>C301</f>
        <v>21</v>
      </c>
      <c r="Q724" s="26" t="s">
        <v>105</v>
      </c>
      <c r="R724" s="40">
        <f t="shared" si="86"/>
        <v>21</v>
      </c>
      <c r="T724" s="29"/>
      <c r="U724" s="26" t="s">
        <v>407</v>
      </c>
      <c r="W724" s="31"/>
      <c r="X724" s="39">
        <f>(X723+C24)</f>
        <v>10771.277291799997</v>
      </c>
      <c r="Y724" s="39"/>
      <c r="AG724" s="47" t="str">
        <f t="shared" si="81"/>
        <v>|</v>
      </c>
      <c r="AI724" s="26" t="s">
        <v>685</v>
      </c>
    </row>
    <row r="725" spans="1:35" ht="24" customHeight="1">
      <c r="A725" s="50">
        <f t="shared" si="83"/>
        <v>522</v>
      </c>
      <c r="B725" s="51" t="s">
        <v>1051</v>
      </c>
      <c r="C725" s="130">
        <v>8.6</v>
      </c>
      <c r="D725" s="140" t="s">
        <v>1052</v>
      </c>
      <c r="F725" s="40">
        <v>10</v>
      </c>
      <c r="G725" s="38" t="s">
        <v>438</v>
      </c>
      <c r="H725" s="26" t="s">
        <v>1053</v>
      </c>
      <c r="I725" s="40">
        <f>(K723/50)</f>
        <v>227.64400000000001</v>
      </c>
      <c r="J725" s="26" t="s">
        <v>438</v>
      </c>
      <c r="K725" s="40">
        <f>(F725*I725)</f>
        <v>2276.44</v>
      </c>
      <c r="M725" s="40">
        <v>1</v>
      </c>
      <c r="N725" s="26" t="s">
        <v>105</v>
      </c>
      <c r="O725" s="26" t="s">
        <v>461</v>
      </c>
      <c r="P725" s="40">
        <f>C303</f>
        <v>4</v>
      </c>
      <c r="Q725" s="26" t="s">
        <v>105</v>
      </c>
      <c r="R725" s="40">
        <f t="shared" si="86"/>
        <v>4</v>
      </c>
      <c r="AG725" s="47" t="str">
        <f t="shared" si="81"/>
        <v>|</v>
      </c>
      <c r="AI725" s="26" t="s">
        <v>685</v>
      </c>
    </row>
    <row r="726" spans="1:35" ht="24" customHeight="1">
      <c r="A726" s="50">
        <f t="shared" si="83"/>
        <v>523</v>
      </c>
      <c r="B726" s="51" t="s">
        <v>1054</v>
      </c>
      <c r="C726" s="52">
        <v>147.6</v>
      </c>
      <c r="D726" s="51" t="s">
        <v>244</v>
      </c>
      <c r="F726" s="40">
        <v>3.8</v>
      </c>
      <c r="G726" s="38" t="s">
        <v>196</v>
      </c>
      <c r="H726" s="26" t="s">
        <v>1055</v>
      </c>
      <c r="I726" s="40">
        <f>(C16)</f>
        <v>1052.8</v>
      </c>
      <c r="J726" s="26" t="s">
        <v>196</v>
      </c>
      <c r="K726" s="40">
        <f>(F726*I726)</f>
        <v>4000.6399999999994</v>
      </c>
      <c r="N726" s="26" t="s">
        <v>106</v>
      </c>
      <c r="O726" s="26" t="s">
        <v>107</v>
      </c>
      <c r="Q726" s="26" t="s">
        <v>106</v>
      </c>
      <c r="R726" s="40">
        <v>0</v>
      </c>
      <c r="AG726" s="47" t="str">
        <f t="shared" si="81"/>
        <v>|</v>
      </c>
      <c r="AI726" s="26" t="s">
        <v>685</v>
      </c>
    </row>
    <row r="727" spans="1:35" ht="24" customHeight="1">
      <c r="A727" s="50">
        <f t="shared" si="83"/>
        <v>524</v>
      </c>
      <c r="B727" s="51" t="s">
        <v>1056</v>
      </c>
      <c r="C727" s="52">
        <v>147.6</v>
      </c>
      <c r="D727" s="51" t="s">
        <v>244</v>
      </c>
      <c r="F727" s="40">
        <v>5.4</v>
      </c>
      <c r="G727" s="38" t="s">
        <v>196</v>
      </c>
      <c r="H727" s="26" t="s">
        <v>271</v>
      </c>
      <c r="I727" s="40">
        <f>(C12)</f>
        <v>702.8</v>
      </c>
      <c r="J727" s="26" t="s">
        <v>196</v>
      </c>
      <c r="K727" s="40">
        <f>(F727*I727)</f>
        <v>3795.12</v>
      </c>
      <c r="R727" s="35" t="s">
        <v>48</v>
      </c>
      <c r="AG727" s="47" t="str">
        <f t="shared" si="81"/>
        <v>|</v>
      </c>
      <c r="AI727" s="26" t="s">
        <v>685</v>
      </c>
    </row>
    <row r="728" spans="1:35" ht="24" customHeight="1">
      <c r="A728" s="50">
        <f t="shared" si="83"/>
        <v>525</v>
      </c>
      <c r="B728" s="51" t="s">
        <v>1057</v>
      </c>
      <c r="C728" s="52">
        <v>147.6</v>
      </c>
      <c r="D728" s="51" t="s">
        <v>244</v>
      </c>
      <c r="G728" s="38" t="s">
        <v>106</v>
      </c>
      <c r="H728" s="26" t="s">
        <v>1058</v>
      </c>
      <c r="J728" s="26" t="s">
        <v>106</v>
      </c>
      <c r="K728" s="40">
        <v>5</v>
      </c>
      <c r="O728" s="27" t="s">
        <v>1059</v>
      </c>
      <c r="R728" s="40">
        <f>SUM(R719:R726)</f>
        <v>4430.7079999999996</v>
      </c>
      <c r="AG728" s="47" t="str">
        <f t="shared" si="81"/>
        <v>|</v>
      </c>
      <c r="AI728" s="26" t="s">
        <v>685</v>
      </c>
    </row>
    <row r="729" spans="1:35" ht="24" customHeight="1">
      <c r="A729" s="50">
        <f t="shared" si="83"/>
        <v>526</v>
      </c>
      <c r="B729" s="51" t="s">
        <v>1060</v>
      </c>
      <c r="C729" s="52">
        <v>1250</v>
      </c>
      <c r="D729" s="51" t="s">
        <v>438</v>
      </c>
      <c r="K729" s="35" t="s">
        <v>48</v>
      </c>
      <c r="R729" s="35" t="s">
        <v>48</v>
      </c>
      <c r="AG729" s="47" t="str">
        <f t="shared" si="81"/>
        <v>|</v>
      </c>
      <c r="AI729" s="26" t="s">
        <v>685</v>
      </c>
    </row>
    <row r="730" spans="1:35" ht="24" customHeight="1">
      <c r="A730" s="50">
        <f t="shared" si="83"/>
        <v>527</v>
      </c>
      <c r="B730" s="51" t="s">
        <v>1061</v>
      </c>
      <c r="C730" s="52">
        <v>1250</v>
      </c>
      <c r="D730" s="51" t="s">
        <v>438</v>
      </c>
      <c r="H730" s="26" t="s">
        <v>401</v>
      </c>
      <c r="K730" s="40">
        <f>SUM(K725:K728)</f>
        <v>10077.200000000001</v>
      </c>
      <c r="N730" s="26" t="s">
        <v>27</v>
      </c>
      <c r="O730" s="27" t="s">
        <v>403</v>
      </c>
      <c r="R730" s="40">
        <f>R728/M720</f>
        <v>3421.3961389961387</v>
      </c>
      <c r="AG730" s="47" t="str">
        <f t="shared" si="81"/>
        <v>|</v>
      </c>
      <c r="AI730" s="26" t="s">
        <v>685</v>
      </c>
    </row>
    <row r="731" spans="1:35" ht="24" customHeight="1">
      <c r="A731" s="50">
        <f t="shared" si="83"/>
        <v>528</v>
      </c>
      <c r="B731" s="51" t="s">
        <v>1062</v>
      </c>
      <c r="C731" s="52">
        <v>1250</v>
      </c>
      <c r="D731" s="51" t="s">
        <v>438</v>
      </c>
      <c r="K731" s="35" t="s">
        <v>48</v>
      </c>
      <c r="R731" s="35" t="s">
        <v>41</v>
      </c>
      <c r="AG731" s="47" t="str">
        <f t="shared" si="81"/>
        <v>|</v>
      </c>
      <c r="AI731" s="26" t="s">
        <v>685</v>
      </c>
    </row>
    <row r="732" spans="1:35" ht="24" customHeight="1">
      <c r="A732" s="50">
        <f t="shared" si="83"/>
        <v>529</v>
      </c>
      <c r="B732" s="51" t="s">
        <v>1063</v>
      </c>
      <c r="C732" s="52">
        <v>1250</v>
      </c>
      <c r="D732" s="51" t="s">
        <v>438</v>
      </c>
      <c r="H732" s="26" t="s">
        <v>403</v>
      </c>
      <c r="K732" s="40">
        <f>(K730/10)</f>
        <v>1007.72</v>
      </c>
      <c r="M732" s="27" t="s">
        <v>420</v>
      </c>
      <c r="N732" s="26" t="s">
        <v>1064</v>
      </c>
      <c r="O732" s="26" t="s">
        <v>1065</v>
      </c>
      <c r="AG732" s="47" t="str">
        <f t="shared" si="81"/>
        <v>|</v>
      </c>
      <c r="AI732" s="26" t="s">
        <v>685</v>
      </c>
    </row>
    <row r="733" spans="1:35" ht="24" customHeight="1">
      <c r="A733" s="50">
        <f t="shared" si="83"/>
        <v>530</v>
      </c>
      <c r="B733" s="51" t="s">
        <v>1066</v>
      </c>
      <c r="C733" s="52">
        <v>1250</v>
      </c>
      <c r="D733" s="51" t="s">
        <v>438</v>
      </c>
      <c r="K733" s="35" t="s">
        <v>41</v>
      </c>
      <c r="O733" s="35" t="s">
        <v>48</v>
      </c>
      <c r="AG733" s="47" t="str">
        <f t="shared" si="81"/>
        <v>|</v>
      </c>
      <c r="AI733" s="26" t="s">
        <v>685</v>
      </c>
    </row>
    <row r="734" spans="1:35" ht="24" customHeight="1">
      <c r="A734" s="50">
        <f t="shared" si="83"/>
        <v>531</v>
      </c>
      <c r="B734" s="51" t="s">
        <v>1067</v>
      </c>
      <c r="C734" s="52">
        <v>1250</v>
      </c>
      <c r="D734" s="51" t="s">
        <v>438</v>
      </c>
      <c r="M734" s="107">
        <v>2.5499999999999998E-2</v>
      </c>
      <c r="N734" s="26" t="s">
        <v>93</v>
      </c>
      <c r="O734" s="26" t="s">
        <v>1068</v>
      </c>
      <c r="P734" s="40">
        <f>C86</f>
        <v>34300</v>
      </c>
      <c r="Q734" s="26" t="s">
        <v>93</v>
      </c>
      <c r="R734" s="40">
        <f t="shared" ref="R734:R740" si="87">M734*P734</f>
        <v>874.65</v>
      </c>
      <c r="AG734" s="47" t="str">
        <f t="shared" si="81"/>
        <v>|</v>
      </c>
      <c r="AI734" s="26" t="s">
        <v>685</v>
      </c>
    </row>
    <row r="735" spans="1:35" ht="24" customHeight="1">
      <c r="A735" s="50">
        <f t="shared" si="83"/>
        <v>532</v>
      </c>
      <c r="B735" s="51" t="s">
        <v>1069</v>
      </c>
      <c r="C735" s="52">
        <v>1250</v>
      </c>
      <c r="D735" s="51" t="s">
        <v>438</v>
      </c>
      <c r="F735" s="27" t="s">
        <v>183</v>
      </c>
      <c r="G735" s="38" t="s">
        <v>67</v>
      </c>
      <c r="H735" s="26" t="s">
        <v>1070</v>
      </c>
      <c r="M735" s="107">
        <v>1.1299999999999999</v>
      </c>
      <c r="N735" s="26" t="s">
        <v>438</v>
      </c>
      <c r="O735" s="26" t="s">
        <v>1043</v>
      </c>
      <c r="P735" s="40">
        <f>C783</f>
        <v>387.4</v>
      </c>
      <c r="Q735" s="26" t="s">
        <v>438</v>
      </c>
      <c r="R735" s="40">
        <f t="shared" si="87"/>
        <v>437.76199999999994</v>
      </c>
      <c r="AG735" s="47" t="str">
        <f t="shared" si="81"/>
        <v>|</v>
      </c>
      <c r="AI735" s="26" t="s">
        <v>685</v>
      </c>
    </row>
    <row r="736" spans="1:35" ht="24" customHeight="1">
      <c r="A736" s="50">
        <f t="shared" si="83"/>
        <v>533</v>
      </c>
      <c r="B736" s="51" t="s">
        <v>1071</v>
      </c>
      <c r="C736" s="52">
        <v>1250</v>
      </c>
      <c r="D736" s="51" t="s">
        <v>438</v>
      </c>
      <c r="H736" s="26" t="s">
        <v>1072</v>
      </c>
      <c r="M736" s="107">
        <v>1.6191</v>
      </c>
      <c r="N736" s="26" t="s">
        <v>438</v>
      </c>
      <c r="O736" s="26" t="s">
        <v>457</v>
      </c>
      <c r="P736" s="40">
        <f>C31</f>
        <v>1617</v>
      </c>
      <c r="Q736" s="26" t="s">
        <v>438</v>
      </c>
      <c r="R736" s="40">
        <f t="shared" si="87"/>
        <v>2618.0846999999999</v>
      </c>
      <c r="AG736" s="47" t="str">
        <f t="shared" si="81"/>
        <v>|</v>
      </c>
      <c r="AI736" s="26" t="s">
        <v>685</v>
      </c>
    </row>
    <row r="737" spans="1:35" ht="24" customHeight="1">
      <c r="A737" s="50">
        <f t="shared" si="83"/>
        <v>534</v>
      </c>
      <c r="B737" s="51" t="s">
        <v>1073</v>
      </c>
      <c r="C737" s="52">
        <v>1250</v>
      </c>
      <c r="D737" s="51" t="s">
        <v>438</v>
      </c>
      <c r="H737" s="26" t="s">
        <v>1074</v>
      </c>
      <c r="M737" s="40">
        <v>2</v>
      </c>
      <c r="N737" s="26" t="s">
        <v>105</v>
      </c>
      <c r="O737" s="26" t="s">
        <v>1045</v>
      </c>
      <c r="P737" s="40">
        <f>C299</f>
        <v>10.5</v>
      </c>
      <c r="Q737" s="26" t="s">
        <v>105</v>
      </c>
      <c r="R737" s="40">
        <f t="shared" si="87"/>
        <v>21</v>
      </c>
      <c r="AG737" s="47" t="str">
        <f t="shared" si="81"/>
        <v>|</v>
      </c>
      <c r="AI737" s="26" t="s">
        <v>685</v>
      </c>
    </row>
    <row r="738" spans="1:35" ht="24" customHeight="1">
      <c r="A738" s="50">
        <f t="shared" si="83"/>
        <v>535</v>
      </c>
      <c r="B738" s="51" t="s">
        <v>1075</v>
      </c>
      <c r="C738" s="52">
        <v>1250</v>
      </c>
      <c r="D738" s="51" t="s">
        <v>438</v>
      </c>
      <c r="H738" s="26" t="s">
        <v>1076</v>
      </c>
      <c r="M738" s="40">
        <v>3</v>
      </c>
      <c r="N738" s="26" t="s">
        <v>105</v>
      </c>
      <c r="O738" s="26" t="s">
        <v>1048</v>
      </c>
      <c r="P738" s="40">
        <f>C295</f>
        <v>8.5</v>
      </c>
      <c r="Q738" s="26" t="s">
        <v>105</v>
      </c>
      <c r="R738" s="40">
        <f t="shared" si="87"/>
        <v>25.5</v>
      </c>
      <c r="AG738" s="47" t="str">
        <f t="shared" si="81"/>
        <v>|</v>
      </c>
      <c r="AI738" s="26" t="s">
        <v>685</v>
      </c>
    </row>
    <row r="739" spans="1:35" ht="24" customHeight="1">
      <c r="A739" s="50">
        <f t="shared" si="83"/>
        <v>536</v>
      </c>
      <c r="B739" s="51" t="s">
        <v>1077</v>
      </c>
      <c r="C739" s="52">
        <v>1250</v>
      </c>
      <c r="D739" s="51" t="s">
        <v>438</v>
      </c>
      <c r="H739" s="26" t="s">
        <v>1078</v>
      </c>
      <c r="M739" s="40">
        <v>1</v>
      </c>
      <c r="N739" s="26" t="s">
        <v>105</v>
      </c>
      <c r="O739" s="26" t="s">
        <v>1050</v>
      </c>
      <c r="P739" s="40">
        <f>C301</f>
        <v>21</v>
      </c>
      <c r="Q739" s="26" t="s">
        <v>105</v>
      </c>
      <c r="R739" s="40">
        <f t="shared" si="87"/>
        <v>21</v>
      </c>
      <c r="AG739" s="47" t="str">
        <f t="shared" si="81"/>
        <v>|</v>
      </c>
      <c r="AI739" s="26" t="s">
        <v>685</v>
      </c>
    </row>
    <row r="740" spans="1:35" ht="24" customHeight="1">
      <c r="A740" s="50">
        <f t="shared" si="83"/>
        <v>537</v>
      </c>
      <c r="B740" s="51" t="s">
        <v>1069</v>
      </c>
      <c r="C740" s="52">
        <v>1250</v>
      </c>
      <c r="D740" s="51" t="s">
        <v>438</v>
      </c>
      <c r="H740" s="26" t="s">
        <v>1079</v>
      </c>
      <c r="M740" s="40">
        <v>1</v>
      </c>
      <c r="N740" s="26" t="s">
        <v>105</v>
      </c>
      <c r="O740" s="26" t="s">
        <v>461</v>
      </c>
      <c r="P740" s="40">
        <f>C303</f>
        <v>4</v>
      </c>
      <c r="Q740" s="26" t="s">
        <v>105</v>
      </c>
      <c r="R740" s="40">
        <f t="shared" si="87"/>
        <v>4</v>
      </c>
      <c r="AG740" s="47" t="str">
        <f t="shared" si="81"/>
        <v>|</v>
      </c>
      <c r="AI740" s="26" t="s">
        <v>685</v>
      </c>
    </row>
    <row r="741" spans="1:35" ht="24" customHeight="1">
      <c r="A741" s="50">
        <f t="shared" si="83"/>
        <v>538</v>
      </c>
      <c r="B741" s="51" t="s">
        <v>1080</v>
      </c>
      <c r="C741" s="66"/>
      <c r="D741" s="51" t="s">
        <v>27</v>
      </c>
      <c r="H741" s="26" t="s">
        <v>1081</v>
      </c>
      <c r="N741" s="26" t="s">
        <v>106</v>
      </c>
      <c r="O741" s="26" t="s">
        <v>107</v>
      </c>
      <c r="Q741" s="26" t="s">
        <v>106</v>
      </c>
      <c r="R741" s="40">
        <v>0</v>
      </c>
      <c r="AG741" s="47" t="str">
        <f t="shared" si="81"/>
        <v>|</v>
      </c>
      <c r="AI741" s="26" t="s">
        <v>685</v>
      </c>
    </row>
    <row r="742" spans="1:35" ht="24" customHeight="1">
      <c r="A742" s="50">
        <f t="shared" si="83"/>
        <v>539</v>
      </c>
      <c r="B742" s="51" t="s">
        <v>1082</v>
      </c>
      <c r="C742" s="52">
        <v>65</v>
      </c>
      <c r="D742" s="51" t="s">
        <v>1083</v>
      </c>
      <c r="H742" s="35" t="s">
        <v>48</v>
      </c>
      <c r="I742" s="35" t="s">
        <v>48</v>
      </c>
      <c r="J742" s="26" t="s">
        <v>48</v>
      </c>
      <c r="R742" s="35" t="s">
        <v>48</v>
      </c>
      <c r="AG742" s="47" t="str">
        <f t="shared" si="81"/>
        <v>|</v>
      </c>
      <c r="AI742" s="26" t="s">
        <v>685</v>
      </c>
    </row>
    <row r="743" spans="1:35" ht="24" customHeight="1">
      <c r="A743" s="50">
        <f t="shared" si="83"/>
        <v>540</v>
      </c>
      <c r="B743" s="51" t="s">
        <v>1084</v>
      </c>
      <c r="C743" s="52">
        <v>64.55</v>
      </c>
      <c r="D743" s="51" t="s">
        <v>1083</v>
      </c>
      <c r="F743" s="40">
        <v>13.46</v>
      </c>
      <c r="G743" s="38" t="s">
        <v>1085</v>
      </c>
      <c r="H743" s="26" t="s">
        <v>1086</v>
      </c>
      <c r="I743" s="40">
        <f>C34/1000</f>
        <v>41.2</v>
      </c>
      <c r="J743" s="26" t="s">
        <v>1085</v>
      </c>
      <c r="K743" s="40">
        <f>(F743*I743)</f>
        <v>554.55200000000002</v>
      </c>
      <c r="O743" s="27" t="s">
        <v>1087</v>
      </c>
      <c r="R743" s="40">
        <f>SUM(R734:R741)</f>
        <v>4001.9966999999997</v>
      </c>
      <c r="AG743" s="47" t="str">
        <f t="shared" si="81"/>
        <v>|</v>
      </c>
      <c r="AI743" s="26" t="s">
        <v>685</v>
      </c>
    </row>
    <row r="744" spans="1:35" ht="24" customHeight="1">
      <c r="A744" s="50">
        <f t="shared" si="83"/>
        <v>541</v>
      </c>
      <c r="B744" s="51" t="s">
        <v>1088</v>
      </c>
      <c r="C744" s="52">
        <v>110.95</v>
      </c>
      <c r="D744" s="51" t="s">
        <v>1083</v>
      </c>
      <c r="H744" s="26" t="s">
        <v>1089</v>
      </c>
      <c r="R744" s="35" t="s">
        <v>48</v>
      </c>
      <c r="AG744" s="47" t="str">
        <f t="shared" si="81"/>
        <v>|</v>
      </c>
      <c r="AI744" s="26" t="s">
        <v>685</v>
      </c>
    </row>
    <row r="745" spans="1:35" ht="24" customHeight="1">
      <c r="A745" s="50">
        <f t="shared" si="83"/>
        <v>542</v>
      </c>
      <c r="B745" s="51" t="s">
        <v>1090</v>
      </c>
      <c r="C745" s="52">
        <v>399</v>
      </c>
      <c r="D745" s="51" t="s">
        <v>1083</v>
      </c>
      <c r="F745" s="40">
        <v>4</v>
      </c>
      <c r="G745" s="38" t="s">
        <v>1085</v>
      </c>
      <c r="H745" s="26" t="s">
        <v>1091</v>
      </c>
      <c r="I745" s="40">
        <f>C34/1000</f>
        <v>41.2</v>
      </c>
      <c r="J745" s="26" t="s">
        <v>1085</v>
      </c>
      <c r="K745" s="40">
        <f>(F745*I745)</f>
        <v>164.8</v>
      </c>
      <c r="O745" s="27" t="s">
        <v>403</v>
      </c>
      <c r="R745" s="40">
        <f>R743/M736</f>
        <v>2471.741523068371</v>
      </c>
      <c r="AG745" s="47" t="str">
        <f t="shared" si="81"/>
        <v>|</v>
      </c>
      <c r="AI745" s="26" t="s">
        <v>685</v>
      </c>
    </row>
    <row r="746" spans="1:35" ht="24" customHeight="1">
      <c r="A746" s="50">
        <f t="shared" si="83"/>
        <v>543</v>
      </c>
      <c r="B746" s="51" t="s">
        <v>1092</v>
      </c>
      <c r="C746" s="52">
        <v>92</v>
      </c>
      <c r="D746" s="51" t="s">
        <v>1083</v>
      </c>
      <c r="H746" s="26" t="s">
        <v>1093</v>
      </c>
      <c r="R746" s="35" t="s">
        <v>41</v>
      </c>
      <c r="AG746" s="47" t="str">
        <f t="shared" si="81"/>
        <v>|</v>
      </c>
      <c r="AI746" s="26" t="s">
        <v>685</v>
      </c>
    </row>
    <row r="747" spans="1:35" ht="24" customHeight="1">
      <c r="A747" s="50">
        <f t="shared" si="83"/>
        <v>544</v>
      </c>
      <c r="B747" s="51" t="s">
        <v>1094</v>
      </c>
      <c r="C747" s="52">
        <v>174.24</v>
      </c>
      <c r="D747" s="51" t="s">
        <v>1083</v>
      </c>
      <c r="F747" s="40"/>
      <c r="G747" s="38" t="s">
        <v>106</v>
      </c>
      <c r="H747" s="26" t="s">
        <v>1095</v>
      </c>
      <c r="J747" s="26" t="s">
        <v>106</v>
      </c>
      <c r="K747" s="40">
        <v>40</v>
      </c>
      <c r="AG747" s="47" t="str">
        <f t="shared" si="81"/>
        <v>|</v>
      </c>
      <c r="AI747" s="26" t="s">
        <v>685</v>
      </c>
    </row>
    <row r="748" spans="1:35" ht="24" customHeight="1">
      <c r="A748" s="50">
        <f t="shared" si="83"/>
        <v>545</v>
      </c>
      <c r="B748" s="51" t="s">
        <v>1096</v>
      </c>
      <c r="C748" s="52">
        <v>215.06</v>
      </c>
      <c r="D748" s="51" t="s">
        <v>1083</v>
      </c>
      <c r="H748" s="26" t="s">
        <v>1097</v>
      </c>
      <c r="K748" s="35" t="s">
        <v>48</v>
      </c>
      <c r="M748" s="27" t="s">
        <v>420</v>
      </c>
      <c r="N748" s="26" t="s">
        <v>1098</v>
      </c>
      <c r="O748" s="26" t="s">
        <v>1099</v>
      </c>
      <c r="AG748" s="47" t="str">
        <f t="shared" si="81"/>
        <v>|</v>
      </c>
      <c r="AI748" s="26" t="s">
        <v>685</v>
      </c>
    </row>
    <row r="749" spans="1:35" ht="24" customHeight="1">
      <c r="A749" s="50">
        <f t="shared" si="83"/>
        <v>546</v>
      </c>
      <c r="B749" s="51" t="s">
        <v>1100</v>
      </c>
      <c r="C749" s="52">
        <v>97.24</v>
      </c>
      <c r="D749" s="51" t="s">
        <v>1083</v>
      </c>
      <c r="H749" s="27" t="s">
        <v>1101</v>
      </c>
      <c r="K749" s="40">
        <f>SUM(K743:K747)</f>
        <v>759.35200000000009</v>
      </c>
      <c r="O749" s="35" t="s">
        <v>48</v>
      </c>
      <c r="AG749" s="47" t="str">
        <f t="shared" ref="AG749:AG812" si="88">AI749</f>
        <v>|</v>
      </c>
      <c r="AI749" s="26" t="s">
        <v>685</v>
      </c>
    </row>
    <row r="750" spans="1:35" ht="24" customHeight="1">
      <c r="A750" s="50">
        <f t="shared" si="83"/>
        <v>547</v>
      </c>
      <c r="B750" s="51" t="s">
        <v>1102</v>
      </c>
      <c r="C750" s="52">
        <v>168.96</v>
      </c>
      <c r="D750" s="51" t="s">
        <v>1083</v>
      </c>
      <c r="K750" s="35" t="s">
        <v>48</v>
      </c>
      <c r="M750" s="107">
        <v>2.35E-2</v>
      </c>
      <c r="N750" s="26" t="s">
        <v>93</v>
      </c>
      <c r="O750" s="26" t="s">
        <v>1068</v>
      </c>
      <c r="P750" s="40">
        <f>C86</f>
        <v>34300</v>
      </c>
      <c r="Q750" s="26" t="s">
        <v>93</v>
      </c>
      <c r="R750" s="40">
        <f t="shared" ref="R750:R756" si="89">M750*P750</f>
        <v>806.05</v>
      </c>
      <c r="AG750" s="47" t="str">
        <f t="shared" si="88"/>
        <v>|</v>
      </c>
      <c r="AI750" s="26" t="s">
        <v>685</v>
      </c>
    </row>
    <row r="751" spans="1:35" ht="24" customHeight="1">
      <c r="A751" s="50">
        <f t="shared" si="83"/>
        <v>548</v>
      </c>
      <c r="B751" s="140" t="s">
        <v>1103</v>
      </c>
      <c r="C751" s="49">
        <v>366</v>
      </c>
      <c r="D751" s="49">
        <v>397</v>
      </c>
      <c r="H751" s="27" t="s">
        <v>1104</v>
      </c>
      <c r="K751" s="40">
        <f>K749/40</f>
        <v>18.983800000000002</v>
      </c>
      <c r="M751" s="107">
        <v>0.872</v>
      </c>
      <c r="N751" s="26" t="s">
        <v>438</v>
      </c>
      <c r="O751" s="26" t="s">
        <v>1043</v>
      </c>
      <c r="P751" s="40">
        <f>C783</f>
        <v>387.4</v>
      </c>
      <c r="Q751" s="26" t="s">
        <v>438</v>
      </c>
      <c r="R751" s="40">
        <f t="shared" si="89"/>
        <v>337.81279999999998</v>
      </c>
      <c r="AG751" s="47" t="str">
        <f t="shared" si="88"/>
        <v>|</v>
      </c>
      <c r="AI751" s="26" t="s">
        <v>685</v>
      </c>
    </row>
    <row r="752" spans="1:35" ht="24" customHeight="1">
      <c r="A752" s="50">
        <f t="shared" si="83"/>
        <v>549</v>
      </c>
      <c r="B752" s="51" t="s">
        <v>1105</v>
      </c>
      <c r="C752" s="49">
        <v>755</v>
      </c>
      <c r="D752" s="51" t="s">
        <v>1083</v>
      </c>
      <c r="K752" s="35" t="s">
        <v>48</v>
      </c>
      <c r="M752" s="107">
        <v>1.3247</v>
      </c>
      <c r="N752" s="26" t="s">
        <v>438</v>
      </c>
      <c r="O752" s="26" t="s">
        <v>457</v>
      </c>
      <c r="P752" s="40">
        <f>C31</f>
        <v>1617</v>
      </c>
      <c r="Q752" s="26" t="s">
        <v>438</v>
      </c>
      <c r="R752" s="40">
        <f t="shared" si="89"/>
        <v>2142.0398999999998</v>
      </c>
      <c r="AG752" s="47" t="str">
        <f t="shared" si="88"/>
        <v>|</v>
      </c>
      <c r="AI752" s="26" t="s">
        <v>685</v>
      </c>
    </row>
    <row r="753" spans="1:35" ht="24" customHeight="1">
      <c r="A753" s="50">
        <f t="shared" si="83"/>
        <v>550</v>
      </c>
      <c r="B753" s="51" t="s">
        <v>1106</v>
      </c>
      <c r="C753" s="52">
        <v>210</v>
      </c>
      <c r="D753" s="51" t="s">
        <v>1083</v>
      </c>
      <c r="H753" s="26" t="s">
        <v>1107</v>
      </c>
      <c r="M753" s="40">
        <v>1</v>
      </c>
      <c r="N753" s="26" t="s">
        <v>105</v>
      </c>
      <c r="O753" s="26" t="s">
        <v>1045</v>
      </c>
      <c r="P753" s="40">
        <f>C299</f>
        <v>10.5</v>
      </c>
      <c r="Q753" s="26" t="s">
        <v>105</v>
      </c>
      <c r="R753" s="40">
        <f t="shared" si="89"/>
        <v>10.5</v>
      </c>
      <c r="AG753" s="47" t="str">
        <f t="shared" si="88"/>
        <v>|</v>
      </c>
      <c r="AI753" s="26" t="s">
        <v>685</v>
      </c>
    </row>
    <row r="754" spans="1:35" ht="24" customHeight="1">
      <c r="A754" s="50">
        <f t="shared" si="83"/>
        <v>551</v>
      </c>
      <c r="B754" s="51" t="s">
        <v>1108</v>
      </c>
      <c r="C754" s="49">
        <v>1434</v>
      </c>
      <c r="D754" s="51" t="s">
        <v>438</v>
      </c>
      <c r="H754" s="26" t="s">
        <v>1109</v>
      </c>
      <c r="M754" s="40">
        <v>3</v>
      </c>
      <c r="N754" s="26" t="s">
        <v>105</v>
      </c>
      <c r="O754" s="26" t="s">
        <v>1110</v>
      </c>
      <c r="P754" s="40">
        <f>C294</f>
        <v>5.75</v>
      </c>
      <c r="Q754" s="26" t="s">
        <v>105</v>
      </c>
      <c r="R754" s="40">
        <f t="shared" si="89"/>
        <v>17.25</v>
      </c>
      <c r="AG754" s="47" t="str">
        <f t="shared" si="88"/>
        <v>|</v>
      </c>
      <c r="AI754" s="26" t="s">
        <v>685</v>
      </c>
    </row>
    <row r="755" spans="1:35" ht="24" customHeight="1">
      <c r="A755" s="50">
        <f t="shared" si="83"/>
        <v>552</v>
      </c>
      <c r="B755" s="51" t="s">
        <v>1111</v>
      </c>
      <c r="C755" s="66"/>
      <c r="D755" s="51" t="s">
        <v>27</v>
      </c>
      <c r="H755" s="26" t="s">
        <v>1112</v>
      </c>
      <c r="M755" s="40">
        <v>1</v>
      </c>
      <c r="N755" s="26" t="s">
        <v>105</v>
      </c>
      <c r="O755" s="26" t="s">
        <v>1113</v>
      </c>
      <c r="P755" s="40">
        <f>C302</f>
        <v>10</v>
      </c>
      <c r="Q755" s="26" t="s">
        <v>105</v>
      </c>
      <c r="R755" s="40">
        <f t="shared" si="89"/>
        <v>10</v>
      </c>
      <c r="AG755" s="47" t="str">
        <f t="shared" si="88"/>
        <v>|</v>
      </c>
      <c r="AI755" s="26" t="s">
        <v>685</v>
      </c>
    </row>
    <row r="756" spans="1:35" ht="24" customHeight="1">
      <c r="A756" s="50">
        <f t="shared" si="83"/>
        <v>553</v>
      </c>
      <c r="B756" s="51" t="s">
        <v>1114</v>
      </c>
      <c r="C756" s="66"/>
      <c r="D756" s="66"/>
      <c r="M756" s="40">
        <v>1</v>
      </c>
      <c r="N756" s="26" t="s">
        <v>105</v>
      </c>
      <c r="O756" s="26" t="s">
        <v>461</v>
      </c>
      <c r="P756" s="40">
        <f>C303</f>
        <v>4</v>
      </c>
      <c r="Q756" s="26" t="s">
        <v>105</v>
      </c>
      <c r="R756" s="40">
        <f t="shared" si="89"/>
        <v>4</v>
      </c>
      <c r="AG756" s="47" t="str">
        <f t="shared" si="88"/>
        <v>|</v>
      </c>
      <c r="AI756" s="26" t="s">
        <v>685</v>
      </c>
    </row>
    <row r="757" spans="1:35" ht="24" customHeight="1">
      <c r="A757" s="50">
        <f t="shared" si="83"/>
        <v>554</v>
      </c>
      <c r="B757" s="51" t="s">
        <v>1115</v>
      </c>
      <c r="C757" s="52">
        <v>300</v>
      </c>
      <c r="D757" s="51" t="s">
        <v>1116</v>
      </c>
      <c r="F757" s="40">
        <v>19</v>
      </c>
      <c r="G757" s="38" t="s">
        <v>969</v>
      </c>
      <c r="H757" s="26" t="s">
        <v>1117</v>
      </c>
      <c r="I757" s="76">
        <f>K751</f>
        <v>18.983800000000002</v>
      </c>
      <c r="J757" s="26" t="s">
        <v>1118</v>
      </c>
      <c r="K757" s="40">
        <f>(F757*I757)</f>
        <v>360.69220000000007</v>
      </c>
      <c r="N757" s="26" t="s">
        <v>106</v>
      </c>
      <c r="O757" s="26" t="s">
        <v>107</v>
      </c>
      <c r="Q757" s="26" t="s">
        <v>106</v>
      </c>
      <c r="R757" s="40">
        <v>0</v>
      </c>
      <c r="AG757" s="47" t="str">
        <f t="shared" si="88"/>
        <v>|</v>
      </c>
      <c r="AI757" s="26" t="s">
        <v>685</v>
      </c>
    </row>
    <row r="758" spans="1:35" ht="24" customHeight="1">
      <c r="A758" s="50">
        <f t="shared" si="83"/>
        <v>555</v>
      </c>
      <c r="B758" s="147" t="s">
        <v>1119</v>
      </c>
      <c r="C758" s="52">
        <v>302</v>
      </c>
      <c r="D758" s="51" t="s">
        <v>1116</v>
      </c>
      <c r="H758" s="26" t="s">
        <v>1120</v>
      </c>
      <c r="R758" s="35" t="s">
        <v>48</v>
      </c>
      <c r="AG758" s="47" t="str">
        <f t="shared" si="88"/>
        <v>|</v>
      </c>
      <c r="AI758" s="26" t="s">
        <v>685</v>
      </c>
    </row>
    <row r="759" spans="1:35" ht="24" customHeight="1">
      <c r="A759" s="50">
        <f t="shared" si="83"/>
        <v>556</v>
      </c>
      <c r="B759" s="51" t="s">
        <v>1121</v>
      </c>
      <c r="C759" s="52">
        <v>382</v>
      </c>
      <c r="D759" s="51" t="s">
        <v>1116</v>
      </c>
      <c r="F759" s="40">
        <v>0.12</v>
      </c>
      <c r="G759" s="38" t="s">
        <v>249</v>
      </c>
      <c r="H759" s="26" t="s">
        <v>1122</v>
      </c>
      <c r="I759" s="40">
        <f>C269/5</f>
        <v>3100</v>
      </c>
      <c r="J759" s="26" t="s">
        <v>1118</v>
      </c>
      <c r="K759" s="40">
        <f t="shared" ref="K759:K766" si="90">(F759*I759)</f>
        <v>372</v>
      </c>
      <c r="O759" s="27" t="s">
        <v>1123</v>
      </c>
      <c r="R759" s="40">
        <f>SUM(R750:R757)</f>
        <v>3327.6526999999996</v>
      </c>
      <c r="AG759" s="47" t="str">
        <f t="shared" si="88"/>
        <v>|</v>
      </c>
      <c r="AI759" s="26" t="s">
        <v>685</v>
      </c>
    </row>
    <row r="760" spans="1:35" ht="24" customHeight="1">
      <c r="A760" s="50">
        <f t="shared" si="83"/>
        <v>557</v>
      </c>
      <c r="B760" s="51" t="s">
        <v>1124</v>
      </c>
      <c r="C760" s="52">
        <v>140</v>
      </c>
      <c r="D760" s="51" t="s">
        <v>1116</v>
      </c>
      <c r="F760" s="40">
        <v>98.5</v>
      </c>
      <c r="G760" s="38" t="s">
        <v>1125</v>
      </c>
      <c r="H760" s="26" t="s">
        <v>1126</v>
      </c>
      <c r="I760" s="40">
        <f>C270/5</f>
        <v>5.04</v>
      </c>
      <c r="J760" s="26" t="s">
        <v>1118</v>
      </c>
      <c r="K760" s="40">
        <f t="shared" si="90"/>
        <v>496.44</v>
      </c>
      <c r="R760" s="35" t="s">
        <v>48</v>
      </c>
      <c r="AG760" s="47" t="str">
        <f t="shared" si="88"/>
        <v>|</v>
      </c>
      <c r="AI760" s="26" t="s">
        <v>685</v>
      </c>
    </row>
    <row r="761" spans="1:35" ht="24" customHeight="1">
      <c r="A761" s="50">
        <f t="shared" si="83"/>
        <v>558</v>
      </c>
      <c r="B761" s="51" t="s">
        <v>1127</v>
      </c>
      <c r="C761" s="52">
        <v>222</v>
      </c>
      <c r="D761" s="51" t="s">
        <v>1116</v>
      </c>
      <c r="F761" s="40">
        <v>1</v>
      </c>
      <c r="G761" s="38" t="s">
        <v>106</v>
      </c>
      <c r="H761" s="26" t="s">
        <v>1128</v>
      </c>
      <c r="I761" s="104">
        <v>11</v>
      </c>
      <c r="J761" s="26" t="s">
        <v>106</v>
      </c>
      <c r="K761" s="40">
        <f t="shared" si="90"/>
        <v>11</v>
      </c>
      <c r="O761" s="27" t="s">
        <v>403</v>
      </c>
      <c r="R761" s="40">
        <f>R759/1.3247</f>
        <v>2512.0047557937642</v>
      </c>
      <c r="AG761" s="47" t="str">
        <f t="shared" si="88"/>
        <v>|</v>
      </c>
      <c r="AI761" s="26" t="s">
        <v>685</v>
      </c>
    </row>
    <row r="762" spans="1:35" ht="24" customHeight="1">
      <c r="A762" s="50">
        <f t="shared" si="83"/>
        <v>559</v>
      </c>
      <c r="B762" s="51" t="s">
        <v>1129</v>
      </c>
      <c r="C762" s="52">
        <v>505</v>
      </c>
      <c r="D762" s="51" t="s">
        <v>1116</v>
      </c>
      <c r="F762" s="40">
        <v>3.8</v>
      </c>
      <c r="G762" s="38" t="s">
        <v>1130</v>
      </c>
      <c r="H762" s="26" t="s">
        <v>1131</v>
      </c>
      <c r="I762" s="40">
        <f>C16</f>
        <v>1052.8</v>
      </c>
      <c r="J762" s="26" t="s">
        <v>793</v>
      </c>
      <c r="K762" s="40">
        <f t="shared" si="90"/>
        <v>4000.6399999999994</v>
      </c>
      <c r="R762" s="35" t="s">
        <v>41</v>
      </c>
      <c r="AG762" s="47" t="str">
        <f t="shared" si="88"/>
        <v>|</v>
      </c>
      <c r="AI762" s="26" t="s">
        <v>685</v>
      </c>
    </row>
    <row r="763" spans="1:35" ht="24" customHeight="1">
      <c r="A763" s="50">
        <f t="shared" si="83"/>
        <v>560</v>
      </c>
      <c r="B763" s="51" t="s">
        <v>1132</v>
      </c>
      <c r="C763" s="49">
        <v>272.2</v>
      </c>
      <c r="D763" s="51" t="s">
        <v>1083</v>
      </c>
      <c r="F763" s="40">
        <v>5.4</v>
      </c>
      <c r="G763" s="38" t="s">
        <v>1130</v>
      </c>
      <c r="H763" s="26" t="s">
        <v>795</v>
      </c>
      <c r="I763" s="40">
        <f>C12</f>
        <v>702.8</v>
      </c>
      <c r="J763" s="26" t="s">
        <v>793</v>
      </c>
      <c r="K763" s="40">
        <f t="shared" si="90"/>
        <v>3795.12</v>
      </c>
      <c r="N763" s="26" t="s">
        <v>67</v>
      </c>
      <c r="AG763" s="47" t="str">
        <f t="shared" si="88"/>
        <v>|</v>
      </c>
      <c r="AI763" s="26" t="s">
        <v>685</v>
      </c>
    </row>
    <row r="764" spans="1:35" ht="24" customHeight="1">
      <c r="A764" s="66" t="s">
        <v>1133</v>
      </c>
      <c r="B764" s="51" t="s">
        <v>1134</v>
      </c>
      <c r="C764" s="49">
        <v>1000</v>
      </c>
      <c r="D764" s="51" t="s">
        <v>1083</v>
      </c>
      <c r="F764" s="40">
        <v>1</v>
      </c>
      <c r="G764" s="38" t="s">
        <v>1130</v>
      </c>
      <c r="H764" s="26" t="s">
        <v>1135</v>
      </c>
      <c r="I764" s="40">
        <f>C66</f>
        <v>923.99999999999989</v>
      </c>
      <c r="J764" s="26" t="s">
        <v>793</v>
      </c>
      <c r="K764" s="40">
        <f t="shared" si="90"/>
        <v>923.99999999999989</v>
      </c>
      <c r="O764" s="26" t="s">
        <v>1136</v>
      </c>
      <c r="AG764" s="47" t="str">
        <f t="shared" si="88"/>
        <v>|</v>
      </c>
      <c r="AI764" s="26" t="s">
        <v>685</v>
      </c>
    </row>
    <row r="765" spans="1:35" ht="24" customHeight="1">
      <c r="A765" s="50">
        <f>(A763+1)</f>
        <v>561</v>
      </c>
      <c r="B765" s="51" t="s">
        <v>1137</v>
      </c>
      <c r="C765" s="52">
        <v>43.3</v>
      </c>
      <c r="D765" s="51" t="s">
        <v>244</v>
      </c>
      <c r="F765" s="40">
        <v>1</v>
      </c>
      <c r="G765" s="38" t="s">
        <v>106</v>
      </c>
      <c r="H765" s="26" t="s">
        <v>1138</v>
      </c>
      <c r="I765" s="104">
        <v>10</v>
      </c>
      <c r="J765" s="26" t="s">
        <v>106</v>
      </c>
      <c r="K765" s="40">
        <f t="shared" si="90"/>
        <v>10</v>
      </c>
      <c r="O765" s="26" t="s">
        <v>1139</v>
      </c>
      <c r="AG765" s="47" t="str">
        <f t="shared" si="88"/>
        <v>|</v>
      </c>
      <c r="AI765" s="26" t="s">
        <v>685</v>
      </c>
    </row>
    <row r="766" spans="1:35" ht="24" customHeight="1">
      <c r="A766" s="50">
        <f t="shared" ref="A766:A783" si="91">(A765+1)</f>
        <v>562</v>
      </c>
      <c r="B766" s="51" t="s">
        <v>1140</v>
      </c>
      <c r="C766" s="52">
        <v>218</v>
      </c>
      <c r="D766" s="51" t="s">
        <v>1083</v>
      </c>
      <c r="F766" s="40">
        <v>19</v>
      </c>
      <c r="G766" s="38" t="s">
        <v>969</v>
      </c>
      <c r="H766" s="26" t="s">
        <v>1141</v>
      </c>
      <c r="I766" s="104">
        <v>2</v>
      </c>
      <c r="J766" s="26" t="s">
        <v>969</v>
      </c>
      <c r="K766" s="40">
        <f t="shared" si="90"/>
        <v>38</v>
      </c>
      <c r="O766" s="26" t="s">
        <v>1142</v>
      </c>
      <c r="AG766" s="47" t="str">
        <f t="shared" si="88"/>
        <v>|</v>
      </c>
      <c r="AI766" s="26" t="s">
        <v>685</v>
      </c>
    </row>
    <row r="767" spans="1:35" ht="24" customHeight="1">
      <c r="A767" s="50">
        <f t="shared" si="91"/>
        <v>563</v>
      </c>
      <c r="B767" s="51" t="s">
        <v>1143</v>
      </c>
      <c r="C767" s="52">
        <v>926</v>
      </c>
      <c r="D767" s="51" t="s">
        <v>1083</v>
      </c>
      <c r="H767" s="26" t="s">
        <v>1144</v>
      </c>
      <c r="K767" s="35" t="s">
        <v>48</v>
      </c>
      <c r="O767" s="26" t="s">
        <v>1145</v>
      </c>
      <c r="AG767" s="47" t="str">
        <f t="shared" si="88"/>
        <v>|</v>
      </c>
      <c r="AI767" s="26" t="s">
        <v>685</v>
      </c>
    </row>
    <row r="768" spans="1:35" ht="24" customHeight="1">
      <c r="A768" s="50">
        <f t="shared" si="91"/>
        <v>564</v>
      </c>
      <c r="B768" s="51" t="s">
        <v>1146</v>
      </c>
      <c r="C768" s="52">
        <v>5.15</v>
      </c>
      <c r="D768" s="51" t="s">
        <v>244</v>
      </c>
      <c r="H768" s="27" t="s">
        <v>401</v>
      </c>
      <c r="K768" s="40">
        <f>SUM(K757:K766)+0.07</f>
        <v>10007.962199999998</v>
      </c>
      <c r="O768" s="35" t="s">
        <v>48</v>
      </c>
      <c r="AG768" s="47" t="str">
        <f t="shared" si="88"/>
        <v>|</v>
      </c>
      <c r="AI768" s="26" t="s">
        <v>685</v>
      </c>
    </row>
    <row r="769" spans="1:35" ht="24" customHeight="1">
      <c r="A769" s="50">
        <f t="shared" si="91"/>
        <v>565</v>
      </c>
      <c r="B769" s="51" t="s">
        <v>1147</v>
      </c>
      <c r="C769" s="52">
        <v>550</v>
      </c>
      <c r="D769" s="51" t="s">
        <v>1083</v>
      </c>
      <c r="K769" s="35" t="s">
        <v>48</v>
      </c>
      <c r="AG769" s="47" t="str">
        <f t="shared" si="88"/>
        <v>|</v>
      </c>
      <c r="AI769" s="26" t="s">
        <v>685</v>
      </c>
    </row>
    <row r="770" spans="1:35" ht="24" customHeight="1">
      <c r="A770" s="50">
        <f t="shared" si="91"/>
        <v>566</v>
      </c>
      <c r="B770" s="51" t="s">
        <v>1148</v>
      </c>
      <c r="C770" s="52">
        <v>286</v>
      </c>
      <c r="D770" s="51" t="s">
        <v>1083</v>
      </c>
      <c r="H770" s="27" t="s">
        <v>403</v>
      </c>
      <c r="K770" s="40">
        <f>(K768/10)</f>
        <v>1000.7962199999998</v>
      </c>
      <c r="O770" s="26" t="s">
        <v>1149</v>
      </c>
      <c r="R770" s="40">
        <f>(C723)</f>
        <v>1183.82</v>
      </c>
      <c r="AG770" s="47" t="str">
        <f t="shared" si="88"/>
        <v>|</v>
      </c>
      <c r="AI770" s="26" t="s">
        <v>685</v>
      </c>
    </row>
    <row r="771" spans="1:35" ht="24" customHeight="1">
      <c r="A771" s="50">
        <f t="shared" si="91"/>
        <v>567</v>
      </c>
      <c r="B771" s="51" t="s">
        <v>1150</v>
      </c>
      <c r="C771" s="52">
        <v>96.3</v>
      </c>
      <c r="D771" s="51" t="s">
        <v>244</v>
      </c>
      <c r="F771" s="26" t="s">
        <v>27</v>
      </c>
      <c r="R771" s="35" t="s">
        <v>41</v>
      </c>
      <c r="AG771" s="47" t="str">
        <f t="shared" si="88"/>
        <v>|</v>
      </c>
      <c r="AI771" s="26" t="s">
        <v>685</v>
      </c>
    </row>
    <row r="772" spans="1:35" ht="24" customHeight="1">
      <c r="A772" s="50">
        <f t="shared" si="91"/>
        <v>568</v>
      </c>
      <c r="B772" s="51" t="s">
        <v>1151</v>
      </c>
      <c r="C772" s="52">
        <v>51</v>
      </c>
      <c r="D772" s="51" t="s">
        <v>1083</v>
      </c>
      <c r="K772" s="35" t="s">
        <v>41</v>
      </c>
      <c r="AG772" s="47" t="str">
        <f t="shared" si="88"/>
        <v>|</v>
      </c>
      <c r="AI772" s="26" t="s">
        <v>685</v>
      </c>
    </row>
    <row r="773" spans="1:35" ht="24" customHeight="1">
      <c r="A773" s="50">
        <f t="shared" si="91"/>
        <v>569</v>
      </c>
      <c r="B773" s="51" t="s">
        <v>1152</v>
      </c>
      <c r="C773" s="52">
        <v>181</v>
      </c>
      <c r="D773" s="51" t="s">
        <v>845</v>
      </c>
      <c r="F773" s="27" t="s">
        <v>187</v>
      </c>
      <c r="G773" s="38" t="s">
        <v>67</v>
      </c>
      <c r="H773" s="26" t="s">
        <v>1153</v>
      </c>
      <c r="N773" s="26" t="s">
        <v>67</v>
      </c>
      <c r="O773" s="26" t="s">
        <v>1154</v>
      </c>
      <c r="AG773" s="47" t="str">
        <f t="shared" si="88"/>
        <v>|</v>
      </c>
      <c r="AI773" s="26" t="s">
        <v>685</v>
      </c>
    </row>
    <row r="774" spans="1:35" ht="24" customHeight="1">
      <c r="A774" s="50">
        <f t="shared" si="91"/>
        <v>570</v>
      </c>
      <c r="B774" s="51" t="s">
        <v>1155</v>
      </c>
      <c r="C774" s="52">
        <v>36.200000000000003</v>
      </c>
      <c r="D774" s="51" t="s">
        <v>244</v>
      </c>
      <c r="H774" s="26" t="s">
        <v>1156</v>
      </c>
      <c r="O774" s="35" t="s">
        <v>41</v>
      </c>
      <c r="P774" s="35" t="s">
        <v>41</v>
      </c>
      <c r="Q774" s="35" t="s">
        <v>41</v>
      </c>
      <c r="R774" s="26" t="s">
        <v>1157</v>
      </c>
      <c r="AG774" s="47" t="str">
        <f t="shared" si="88"/>
        <v>|</v>
      </c>
      <c r="AI774" s="26" t="s">
        <v>685</v>
      </c>
    </row>
    <row r="775" spans="1:35" ht="24" customHeight="1">
      <c r="A775" s="50">
        <f t="shared" si="91"/>
        <v>571</v>
      </c>
      <c r="B775" s="51" t="s">
        <v>1158</v>
      </c>
      <c r="C775" s="52">
        <v>98</v>
      </c>
      <c r="D775" s="51" t="s">
        <v>1083</v>
      </c>
      <c r="H775" s="26" t="s">
        <v>1159</v>
      </c>
      <c r="O775" s="26" t="s">
        <v>1160</v>
      </c>
      <c r="Q775" s="27" t="s">
        <v>1125</v>
      </c>
      <c r="R775" s="40">
        <f>(C726)</f>
        <v>147.6</v>
      </c>
      <c r="AG775" s="47" t="str">
        <f t="shared" si="88"/>
        <v>|</v>
      </c>
      <c r="AI775" s="26" t="s">
        <v>685</v>
      </c>
    </row>
    <row r="776" spans="1:35" ht="24" customHeight="1">
      <c r="A776" s="50">
        <f t="shared" si="91"/>
        <v>572</v>
      </c>
      <c r="B776" s="51" t="s">
        <v>1161</v>
      </c>
      <c r="C776" s="52">
        <v>92</v>
      </c>
      <c r="D776" s="51" t="s">
        <v>244</v>
      </c>
      <c r="H776" s="35" t="s">
        <v>48</v>
      </c>
      <c r="O776" s="26" t="s">
        <v>1162</v>
      </c>
      <c r="AG776" s="47" t="str">
        <f t="shared" si="88"/>
        <v>|::</v>
      </c>
      <c r="AI776" s="26" t="s">
        <v>469</v>
      </c>
    </row>
    <row r="777" spans="1:35" ht="24" customHeight="1">
      <c r="A777" s="50">
        <f t="shared" si="91"/>
        <v>573</v>
      </c>
      <c r="B777" s="51" t="s">
        <v>1163</v>
      </c>
      <c r="C777" s="52">
        <v>49.42</v>
      </c>
      <c r="D777" s="51" t="s">
        <v>1083</v>
      </c>
      <c r="F777" s="40">
        <v>10</v>
      </c>
      <c r="G777" s="38" t="s">
        <v>438</v>
      </c>
      <c r="H777" s="26" t="s">
        <v>1164</v>
      </c>
      <c r="I777" s="40">
        <f>(K757)*1.2</f>
        <v>432.83064000000007</v>
      </c>
      <c r="J777" s="26" t="s">
        <v>1118</v>
      </c>
      <c r="K777" s="40">
        <f>(F777*I777)/10</f>
        <v>432.83064000000002</v>
      </c>
      <c r="O777" s="26" t="s">
        <v>1165</v>
      </c>
      <c r="AG777" s="47">
        <f t="shared" si="88"/>
        <v>0</v>
      </c>
    </row>
    <row r="778" spans="1:35" ht="24" customHeight="1">
      <c r="A778" s="50">
        <f t="shared" si="91"/>
        <v>574</v>
      </c>
      <c r="B778" s="51" t="s">
        <v>1166</v>
      </c>
      <c r="C778" s="52">
        <v>53.2</v>
      </c>
      <c r="D778" s="51" t="s">
        <v>1083</v>
      </c>
      <c r="H778" s="26" t="s">
        <v>1167</v>
      </c>
      <c r="O778" s="26" t="s">
        <v>1168</v>
      </c>
      <c r="AG778" s="47">
        <f t="shared" si="88"/>
        <v>0</v>
      </c>
    </row>
    <row r="779" spans="1:35" ht="24" customHeight="1">
      <c r="A779" s="50">
        <f t="shared" si="91"/>
        <v>575</v>
      </c>
      <c r="B779" s="51" t="s">
        <v>1169</v>
      </c>
      <c r="C779" s="52">
        <v>59</v>
      </c>
      <c r="D779" s="51" t="s">
        <v>1083</v>
      </c>
      <c r="H779" s="26" t="s">
        <v>1170</v>
      </c>
      <c r="O779" s="26" t="s">
        <v>1171</v>
      </c>
      <c r="AG779" s="47" t="str">
        <f t="shared" si="88"/>
        <v>|</v>
      </c>
      <c r="AI779" s="26" t="s">
        <v>685</v>
      </c>
    </row>
    <row r="780" spans="1:35" ht="24" customHeight="1">
      <c r="A780" s="50">
        <f t="shared" si="91"/>
        <v>576</v>
      </c>
      <c r="B780" s="51" t="s">
        <v>1172</v>
      </c>
      <c r="C780" s="52">
        <v>100</v>
      </c>
      <c r="D780" s="51" t="s">
        <v>1083</v>
      </c>
      <c r="F780" s="40">
        <v>10</v>
      </c>
      <c r="G780" s="38" t="s">
        <v>438</v>
      </c>
      <c r="H780" s="26" t="s">
        <v>1173</v>
      </c>
      <c r="I780" s="40">
        <f>K759*1.2</f>
        <v>446.4</v>
      </c>
      <c r="J780" s="26" t="s">
        <v>1118</v>
      </c>
      <c r="K780" s="40">
        <f>(F780*I780)/10</f>
        <v>446.4</v>
      </c>
      <c r="O780" s="26" t="s">
        <v>1174</v>
      </c>
      <c r="R780" s="26" t="s">
        <v>27</v>
      </c>
      <c r="AG780" s="47">
        <f t="shared" si="88"/>
        <v>0</v>
      </c>
    </row>
    <row r="781" spans="1:35" ht="24" customHeight="1">
      <c r="A781" s="50">
        <f t="shared" si="91"/>
        <v>577</v>
      </c>
      <c r="B781" s="51" t="s">
        <v>1175</v>
      </c>
      <c r="C781" s="52">
        <v>49.52</v>
      </c>
      <c r="D781" s="51" t="s">
        <v>244</v>
      </c>
      <c r="H781" s="26" t="s">
        <v>1176</v>
      </c>
      <c r="O781" s="26" t="s">
        <v>27</v>
      </c>
      <c r="AG781" s="47" t="str">
        <f t="shared" si="88"/>
        <v>|</v>
      </c>
      <c r="AI781" s="26" t="s">
        <v>685</v>
      </c>
    </row>
    <row r="782" spans="1:35" ht="24" customHeight="1">
      <c r="A782" s="50">
        <f t="shared" si="91"/>
        <v>578</v>
      </c>
      <c r="B782" s="51" t="s">
        <v>1177</v>
      </c>
      <c r="C782" s="52">
        <v>1080</v>
      </c>
      <c r="D782" s="51" t="s">
        <v>1083</v>
      </c>
      <c r="H782" s="26" t="s">
        <v>1178</v>
      </c>
      <c r="AG782" s="47" t="str">
        <f t="shared" si="88"/>
        <v>|</v>
      </c>
      <c r="AI782" s="26" t="s">
        <v>685</v>
      </c>
    </row>
    <row r="783" spans="1:35" ht="24" customHeight="1">
      <c r="A783" s="50">
        <f t="shared" si="91"/>
        <v>579</v>
      </c>
      <c r="B783" s="51" t="s">
        <v>1179</v>
      </c>
      <c r="C783" s="73">
        <v>387.4</v>
      </c>
      <c r="D783" s="51" t="s">
        <v>438</v>
      </c>
      <c r="F783" s="40">
        <v>98.5</v>
      </c>
      <c r="G783" s="38" t="s">
        <v>1125</v>
      </c>
      <c r="H783" s="26" t="s">
        <v>1126</v>
      </c>
      <c r="I783" s="40">
        <f>C270/5</f>
        <v>5.04</v>
      </c>
      <c r="J783" s="26" t="s">
        <v>1118</v>
      </c>
      <c r="K783" s="40">
        <f t="shared" ref="K783:K789" si="92">(F783*I783)</f>
        <v>496.44</v>
      </c>
      <c r="N783" s="26" t="s">
        <v>67</v>
      </c>
      <c r="O783" s="26" t="s">
        <v>1180</v>
      </c>
      <c r="Q783" s="27" t="s">
        <v>788</v>
      </c>
      <c r="R783" s="40">
        <f>(C730)</f>
        <v>1250</v>
      </c>
      <c r="AG783" s="47" t="str">
        <f t="shared" si="88"/>
        <v>|</v>
      </c>
      <c r="AI783" s="26" t="s">
        <v>685</v>
      </c>
    </row>
    <row r="784" spans="1:35" ht="24" customHeight="1">
      <c r="A784" s="50" t="e">
        <f>(#REF!+1)</f>
        <v>#REF!</v>
      </c>
      <c r="B784" s="51" t="s">
        <v>1114</v>
      </c>
      <c r="C784" s="66"/>
      <c r="D784" s="66"/>
      <c r="F784" s="40">
        <v>3.8</v>
      </c>
      <c r="G784" s="38" t="s">
        <v>196</v>
      </c>
      <c r="H784" s="26" t="s">
        <v>1055</v>
      </c>
      <c r="I784" s="40">
        <f>(C16)</f>
        <v>1052.8</v>
      </c>
      <c r="J784" s="26" t="s">
        <v>196</v>
      </c>
      <c r="K784" s="40">
        <f t="shared" si="92"/>
        <v>4000.6399999999994</v>
      </c>
      <c r="O784" s="26" t="s">
        <v>1181</v>
      </c>
      <c r="AG784" s="47" t="str">
        <f t="shared" si="88"/>
        <v>|</v>
      </c>
      <c r="AI784" s="26" t="s">
        <v>685</v>
      </c>
    </row>
    <row r="785" spans="1:35" ht="24" customHeight="1">
      <c r="A785" s="50"/>
      <c r="B785" s="51" t="s">
        <v>1115</v>
      </c>
      <c r="C785" s="52">
        <v>300</v>
      </c>
      <c r="D785" s="66"/>
      <c r="F785" s="40">
        <v>5.4</v>
      </c>
      <c r="G785" s="38" t="s">
        <v>196</v>
      </c>
      <c r="H785" s="26" t="s">
        <v>271</v>
      </c>
      <c r="I785" s="40">
        <f>(C12)</f>
        <v>702.8</v>
      </c>
      <c r="J785" s="26" t="s">
        <v>196</v>
      </c>
      <c r="K785" s="40">
        <f t="shared" si="92"/>
        <v>3795.12</v>
      </c>
      <c r="O785" s="26" t="s">
        <v>1182</v>
      </c>
      <c r="AG785" s="47" t="str">
        <f t="shared" si="88"/>
        <v>|</v>
      </c>
      <c r="AI785" s="26" t="s">
        <v>685</v>
      </c>
    </row>
    <row r="786" spans="1:35" ht="24" customHeight="1">
      <c r="A786" s="50"/>
      <c r="B786" s="147" t="s">
        <v>1119</v>
      </c>
      <c r="C786" s="52">
        <v>302</v>
      </c>
      <c r="D786" s="66"/>
      <c r="F786" s="40">
        <v>1</v>
      </c>
      <c r="G786" s="38" t="s">
        <v>196</v>
      </c>
      <c r="H786" s="26" t="s">
        <v>1135</v>
      </c>
      <c r="I786" s="40">
        <f>C66</f>
        <v>923.99999999999989</v>
      </c>
      <c r="J786" s="26" t="s">
        <v>793</v>
      </c>
      <c r="K786" s="40">
        <f t="shared" si="92"/>
        <v>923.99999999999989</v>
      </c>
      <c r="O786" s="26" t="s">
        <v>1183</v>
      </c>
      <c r="AG786" s="47" t="str">
        <f t="shared" si="88"/>
        <v>|</v>
      </c>
      <c r="AI786" s="26" t="s">
        <v>685</v>
      </c>
    </row>
    <row r="787" spans="1:35" ht="24" customHeight="1">
      <c r="A787" s="50"/>
      <c r="B787" s="51" t="s">
        <v>1184</v>
      </c>
      <c r="C787" s="52">
        <v>324</v>
      </c>
      <c r="D787" s="66"/>
      <c r="F787" s="40">
        <v>1</v>
      </c>
      <c r="G787" s="38" t="s">
        <v>106</v>
      </c>
      <c r="H787" s="26" t="s">
        <v>1185</v>
      </c>
      <c r="I787" s="40">
        <f>I761</f>
        <v>11</v>
      </c>
      <c r="J787" s="26" t="s">
        <v>793</v>
      </c>
      <c r="K787" s="40">
        <f t="shared" si="92"/>
        <v>11</v>
      </c>
      <c r="AG787" s="47" t="str">
        <f t="shared" si="88"/>
        <v>|</v>
      </c>
      <c r="AI787" s="26" t="s">
        <v>685</v>
      </c>
    </row>
    <row r="788" spans="1:35" ht="24" customHeight="1">
      <c r="A788" s="50"/>
      <c r="B788" s="51" t="s">
        <v>1121</v>
      </c>
      <c r="C788" s="52">
        <v>382</v>
      </c>
      <c r="D788" s="66"/>
      <c r="F788" s="40">
        <v>1</v>
      </c>
      <c r="G788" s="38" t="s">
        <v>106</v>
      </c>
      <c r="H788" s="26" t="s">
        <v>1058</v>
      </c>
      <c r="I788" s="148">
        <v>10</v>
      </c>
      <c r="J788" s="26" t="s">
        <v>106</v>
      </c>
      <c r="K788" s="40">
        <f t="shared" si="92"/>
        <v>10</v>
      </c>
      <c r="N788" s="26" t="s">
        <v>67</v>
      </c>
      <c r="O788" s="26" t="s">
        <v>1186</v>
      </c>
      <c r="AG788" s="47" t="str">
        <f t="shared" si="88"/>
        <v>|</v>
      </c>
      <c r="AI788" s="26" t="s">
        <v>685</v>
      </c>
    </row>
    <row r="789" spans="1:35" ht="24" customHeight="1">
      <c r="A789" s="50"/>
      <c r="B789" s="51" t="s">
        <v>1129</v>
      </c>
      <c r="C789" s="52">
        <v>505</v>
      </c>
      <c r="D789" s="66"/>
      <c r="F789" s="40">
        <v>19</v>
      </c>
      <c r="G789" s="38" t="s">
        <v>969</v>
      </c>
      <c r="H789" s="26" t="s">
        <v>1187</v>
      </c>
      <c r="I789" s="148">
        <v>2</v>
      </c>
      <c r="J789" s="31" t="s">
        <v>969</v>
      </c>
      <c r="K789" s="40">
        <f t="shared" si="92"/>
        <v>38</v>
      </c>
      <c r="O789" s="26" t="s">
        <v>1188</v>
      </c>
      <c r="R789" s="26" t="s">
        <v>27</v>
      </c>
      <c r="AG789" s="47" t="str">
        <f t="shared" si="88"/>
        <v>|</v>
      </c>
      <c r="AI789" s="26" t="s">
        <v>685</v>
      </c>
    </row>
    <row r="790" spans="1:35" ht="24" customHeight="1">
      <c r="A790" s="50"/>
      <c r="B790" s="51" t="s">
        <v>1124</v>
      </c>
      <c r="C790" s="52">
        <v>140</v>
      </c>
      <c r="D790" s="66"/>
      <c r="H790" s="26" t="s">
        <v>1189</v>
      </c>
      <c r="O790" s="26" t="s">
        <v>1190</v>
      </c>
      <c r="AG790" s="47" t="str">
        <f t="shared" si="88"/>
        <v>|</v>
      </c>
      <c r="AI790" s="26" t="s">
        <v>685</v>
      </c>
    </row>
    <row r="791" spans="1:35" ht="24" customHeight="1">
      <c r="A791" s="50"/>
      <c r="B791" s="51" t="s">
        <v>1127</v>
      </c>
      <c r="C791" s="52">
        <v>222</v>
      </c>
      <c r="D791" s="66"/>
      <c r="K791" s="35" t="s">
        <v>48</v>
      </c>
      <c r="O791" s="35" t="s">
        <v>48</v>
      </c>
      <c r="AG791" s="47" t="str">
        <f t="shared" si="88"/>
        <v>|</v>
      </c>
      <c r="AI791" s="26" t="s">
        <v>685</v>
      </c>
    </row>
    <row r="792" spans="1:35" ht="24" customHeight="1">
      <c r="A792" s="50"/>
      <c r="B792" s="51" t="s">
        <v>1191</v>
      </c>
      <c r="C792" s="52">
        <v>100</v>
      </c>
      <c r="D792" s="66"/>
      <c r="H792" s="26" t="s">
        <v>401</v>
      </c>
      <c r="K792" s="40">
        <f>SUM(K777:K790)</f>
        <v>10154.430639999999</v>
      </c>
      <c r="N792" s="26" t="s">
        <v>480</v>
      </c>
      <c r="O792" s="26" t="s">
        <v>1192</v>
      </c>
      <c r="P792" s="40">
        <f>(C272)</f>
        <v>300.89999999999998</v>
      </c>
      <c r="Q792" s="26" t="s">
        <v>480</v>
      </c>
      <c r="R792" s="40">
        <f>M792*P792</f>
        <v>0</v>
      </c>
      <c r="AG792" s="47" t="str">
        <f t="shared" si="88"/>
        <v>|</v>
      </c>
      <c r="AI792" s="26" t="s">
        <v>685</v>
      </c>
    </row>
    <row r="793" spans="1:35" ht="24" customHeight="1">
      <c r="A793" s="50"/>
      <c r="B793" s="51" t="s">
        <v>1193</v>
      </c>
      <c r="C793" s="52">
        <v>75</v>
      </c>
      <c r="D793" s="66"/>
      <c r="K793" s="35" t="s">
        <v>48</v>
      </c>
      <c r="R793" s="40"/>
      <c r="AG793" s="47" t="str">
        <f t="shared" si="88"/>
        <v>|</v>
      </c>
      <c r="AI793" s="26" t="s">
        <v>685</v>
      </c>
    </row>
    <row r="794" spans="1:35" ht="24" customHeight="1">
      <c r="A794" s="50"/>
      <c r="B794" s="51" t="s">
        <v>1194</v>
      </c>
      <c r="C794" s="52">
        <v>218</v>
      </c>
      <c r="D794" s="66"/>
      <c r="H794" s="26" t="s">
        <v>403</v>
      </c>
      <c r="K794" s="40">
        <f>(K792/10)</f>
        <v>1015.4430639999998</v>
      </c>
      <c r="N794" s="26" t="s">
        <v>1195</v>
      </c>
      <c r="O794" s="26" t="s">
        <v>1196</v>
      </c>
      <c r="P794" s="40">
        <f>(C16)</f>
        <v>1052.8</v>
      </c>
      <c r="Q794" s="26" t="s">
        <v>1195</v>
      </c>
      <c r="R794" s="40">
        <f>M794*P794</f>
        <v>0</v>
      </c>
      <c r="AG794" s="47" t="str">
        <f t="shared" si="88"/>
        <v>|</v>
      </c>
      <c r="AI794" s="26" t="s">
        <v>685</v>
      </c>
    </row>
    <row r="795" spans="1:35" ht="24" customHeight="1">
      <c r="A795" s="50"/>
      <c r="B795" s="51" t="s">
        <v>1197</v>
      </c>
      <c r="C795" s="52">
        <v>1854</v>
      </c>
      <c r="D795" s="66"/>
      <c r="H795" s="149" t="s">
        <v>1198</v>
      </c>
      <c r="K795" s="35" t="s">
        <v>41</v>
      </c>
      <c r="R795" s="40"/>
      <c r="AG795" s="47" t="str">
        <f t="shared" si="88"/>
        <v>|</v>
      </c>
      <c r="AI795" s="26" t="s">
        <v>685</v>
      </c>
    </row>
    <row r="796" spans="1:35" ht="24" customHeight="1">
      <c r="A796" s="50"/>
      <c r="B796" s="51" t="s">
        <v>1199</v>
      </c>
      <c r="C796" s="52">
        <v>51</v>
      </c>
      <c r="D796" s="66"/>
      <c r="O796" s="26" t="s">
        <v>1200</v>
      </c>
      <c r="P796" s="138" t="s">
        <v>106</v>
      </c>
      <c r="R796" s="40">
        <v>0.64</v>
      </c>
      <c r="AG796" s="47" t="str">
        <f t="shared" si="88"/>
        <v>|</v>
      </c>
      <c r="AI796" s="26" t="s">
        <v>685</v>
      </c>
    </row>
    <row r="797" spans="1:35" ht="24" customHeight="1">
      <c r="A797" s="50"/>
      <c r="B797" s="51" t="s">
        <v>1201</v>
      </c>
      <c r="C797" s="52">
        <v>915</v>
      </c>
      <c r="D797" s="66"/>
      <c r="F797" s="27" t="s">
        <v>192</v>
      </c>
      <c r="G797" s="38" t="s">
        <v>67</v>
      </c>
      <c r="H797" s="26" t="s">
        <v>1153</v>
      </c>
      <c r="R797" s="35" t="s">
        <v>48</v>
      </c>
      <c r="AG797" s="47" t="str">
        <f t="shared" si="88"/>
        <v>|</v>
      </c>
      <c r="AI797" s="26" t="s">
        <v>685</v>
      </c>
    </row>
    <row r="798" spans="1:35" ht="24" customHeight="1">
      <c r="A798" s="50"/>
      <c r="B798" s="51" t="s">
        <v>1202</v>
      </c>
      <c r="C798" s="52">
        <v>890</v>
      </c>
      <c r="D798" s="66"/>
      <c r="H798" s="26" t="s">
        <v>1156</v>
      </c>
      <c r="O798" s="26" t="s">
        <v>1203</v>
      </c>
      <c r="R798" s="40">
        <f>SUM(R792:R796)</f>
        <v>0.64</v>
      </c>
      <c r="AG798" s="47" t="str">
        <f t="shared" si="88"/>
        <v>|</v>
      </c>
      <c r="AI798" s="26" t="s">
        <v>685</v>
      </c>
    </row>
    <row r="799" spans="1:35" ht="24" customHeight="1">
      <c r="A799" s="50"/>
      <c r="B799" s="51" t="s">
        <v>1204</v>
      </c>
      <c r="C799" s="52">
        <v>5.15</v>
      </c>
      <c r="D799" s="66"/>
      <c r="H799" s="26" t="s">
        <v>1205</v>
      </c>
      <c r="R799" s="35" t="s">
        <v>48</v>
      </c>
      <c r="U799" s="41" t="s">
        <v>1206</v>
      </c>
      <c r="AG799" s="47" t="str">
        <f t="shared" si="88"/>
        <v>|</v>
      </c>
      <c r="AI799" s="26" t="s">
        <v>685</v>
      </c>
    </row>
    <row r="800" spans="1:35" ht="24" customHeight="1">
      <c r="A800" s="50"/>
      <c r="B800" s="51" t="s">
        <v>1207</v>
      </c>
      <c r="C800" s="52">
        <v>43.3</v>
      </c>
      <c r="D800" s="66"/>
      <c r="H800" s="35" t="s">
        <v>48</v>
      </c>
      <c r="O800" s="26" t="s">
        <v>1208</v>
      </c>
      <c r="R800" s="40">
        <f>(R798/0.4)</f>
        <v>1.5999999999999999</v>
      </c>
      <c r="S800" s="32">
        <v>0.443</v>
      </c>
      <c r="T800" s="28" t="s">
        <v>475</v>
      </c>
      <c r="U800" s="28" t="s">
        <v>1209</v>
      </c>
      <c r="V800" s="28">
        <f>AE14</f>
        <v>2923.8</v>
      </c>
      <c r="X800" s="28">
        <f>V800*S800</f>
        <v>1295.2434000000001</v>
      </c>
      <c r="AG800" s="47" t="str">
        <f t="shared" si="88"/>
        <v>|</v>
      </c>
      <c r="AI800" s="26" t="s">
        <v>685</v>
      </c>
    </row>
    <row r="801" spans="1:35" ht="24" customHeight="1">
      <c r="A801" s="50"/>
      <c r="B801" s="51" t="s">
        <v>1210</v>
      </c>
      <c r="C801" s="52">
        <v>920</v>
      </c>
      <c r="D801" s="66"/>
      <c r="H801" s="26" t="s">
        <v>1211</v>
      </c>
      <c r="K801" s="40">
        <f>(K732/2)</f>
        <v>503.86</v>
      </c>
      <c r="R801" s="35" t="s">
        <v>41</v>
      </c>
      <c r="S801" s="32">
        <v>0.29499999999999998</v>
      </c>
      <c r="T801" s="28" t="s">
        <v>475</v>
      </c>
      <c r="U801" s="28" t="s">
        <v>1212</v>
      </c>
      <c r="V801" s="28">
        <f>AE12</f>
        <v>2479.8000000000002</v>
      </c>
      <c r="X801" s="28">
        <f t="shared" ref="X801:X807" si="93">V801*S801</f>
        <v>731.54100000000005</v>
      </c>
      <c r="AG801" s="47" t="str">
        <f t="shared" si="88"/>
        <v>|</v>
      </c>
      <c r="AI801" s="26" t="s">
        <v>685</v>
      </c>
    </row>
    <row r="802" spans="1:35" ht="24" customHeight="1">
      <c r="A802" s="50"/>
      <c r="B802" s="51" t="s">
        <v>1213</v>
      </c>
      <c r="C802" s="52">
        <v>98</v>
      </c>
      <c r="D802" s="66"/>
      <c r="H802" s="26" t="s">
        <v>1214</v>
      </c>
      <c r="K802" s="35" t="s">
        <v>41</v>
      </c>
      <c r="N802" s="26" t="s">
        <v>67</v>
      </c>
      <c r="O802" s="26" t="s">
        <v>1215</v>
      </c>
      <c r="S802" s="32">
        <v>0.43</v>
      </c>
      <c r="T802" s="28" t="s">
        <v>475</v>
      </c>
      <c r="U802" s="28" t="s">
        <v>17</v>
      </c>
      <c r="V802" s="28">
        <f>I809</f>
        <v>2765.84</v>
      </c>
      <c r="X802" s="28">
        <f t="shared" si="93"/>
        <v>1189.3112000000001</v>
      </c>
      <c r="AG802" s="47" t="str">
        <f t="shared" si="88"/>
        <v>|</v>
      </c>
      <c r="AI802" s="26" t="s">
        <v>685</v>
      </c>
    </row>
    <row r="803" spans="1:35" ht="24" customHeight="1">
      <c r="A803" s="50"/>
      <c r="B803" s="51" t="s">
        <v>1216</v>
      </c>
      <c r="C803" s="52">
        <v>181</v>
      </c>
      <c r="D803" s="66"/>
      <c r="F803" s="27" t="s">
        <v>891</v>
      </c>
      <c r="G803" s="38" t="s">
        <v>67</v>
      </c>
      <c r="H803" s="26" t="s">
        <v>1217</v>
      </c>
      <c r="O803" s="26" t="s">
        <v>1218</v>
      </c>
      <c r="S803" s="32">
        <v>0.39</v>
      </c>
      <c r="T803" s="28" t="s">
        <v>962</v>
      </c>
      <c r="U803" s="28" t="s">
        <v>26</v>
      </c>
      <c r="V803" s="28">
        <f>I808</f>
        <v>5800</v>
      </c>
      <c r="X803" s="28">
        <f t="shared" si="93"/>
        <v>2262</v>
      </c>
      <c r="AG803" s="47" t="str">
        <f t="shared" si="88"/>
        <v>|</v>
      </c>
      <c r="AI803" s="26" t="s">
        <v>685</v>
      </c>
    </row>
    <row r="804" spans="1:35" ht="24" customHeight="1">
      <c r="A804" s="50"/>
      <c r="B804" s="51" t="s">
        <v>1219</v>
      </c>
      <c r="C804" s="52">
        <v>1148.76</v>
      </c>
      <c r="D804" s="66"/>
      <c r="H804" s="26" t="s">
        <v>893</v>
      </c>
      <c r="O804" s="26" t="s">
        <v>1220</v>
      </c>
      <c r="S804" s="32">
        <v>0.35</v>
      </c>
      <c r="T804" s="28" t="s">
        <v>969</v>
      </c>
      <c r="U804" s="28" t="s">
        <v>970</v>
      </c>
      <c r="V804" s="28">
        <f>I810</f>
        <v>1005.1999999999999</v>
      </c>
      <c r="W804" s="28" t="str">
        <f>J810</f>
        <v>NO.</v>
      </c>
      <c r="X804" s="28">
        <f t="shared" si="93"/>
        <v>351.81999999999994</v>
      </c>
      <c r="AG804" s="47" t="str">
        <f t="shared" si="88"/>
        <v>|</v>
      </c>
      <c r="AI804" s="26" t="s">
        <v>685</v>
      </c>
    </row>
    <row r="805" spans="1:35" ht="24" customHeight="1">
      <c r="A805" s="50"/>
      <c r="B805" s="51" t="s">
        <v>1221</v>
      </c>
      <c r="C805" s="52">
        <v>967</v>
      </c>
      <c r="D805" s="66"/>
      <c r="H805" s="26" t="s">
        <v>896</v>
      </c>
      <c r="O805" s="35" t="s">
        <v>48</v>
      </c>
      <c r="S805" s="32">
        <v>2.12</v>
      </c>
      <c r="T805" s="28" t="s">
        <v>969</v>
      </c>
      <c r="U805" s="28" t="s">
        <v>973</v>
      </c>
      <c r="V805" s="28">
        <f>I811</f>
        <v>702.8</v>
      </c>
      <c r="X805" s="28">
        <f t="shared" si="93"/>
        <v>1489.9359999999999</v>
      </c>
      <c r="AG805" s="47" t="str">
        <f t="shared" si="88"/>
        <v>|</v>
      </c>
      <c r="AI805" s="26" t="s">
        <v>685</v>
      </c>
    </row>
    <row r="806" spans="1:35" ht="24" customHeight="1">
      <c r="A806" s="50"/>
      <c r="B806" s="51" t="s">
        <v>1222</v>
      </c>
      <c r="C806" s="150">
        <v>33.9</v>
      </c>
      <c r="D806" s="66"/>
      <c r="H806" s="35" t="s">
        <v>48</v>
      </c>
      <c r="N806" s="138" t="s">
        <v>1035</v>
      </c>
      <c r="O806" s="26" t="s">
        <v>1223</v>
      </c>
      <c r="S806" s="32">
        <v>3.53</v>
      </c>
      <c r="T806" s="28" t="s">
        <v>969</v>
      </c>
      <c r="U806" s="28" t="s">
        <v>977</v>
      </c>
      <c r="V806" s="28">
        <f>I812</f>
        <v>576.79999999999995</v>
      </c>
      <c r="X806" s="28">
        <f t="shared" si="93"/>
        <v>2036.1039999999998</v>
      </c>
      <c r="AG806" s="47" t="str">
        <f t="shared" si="88"/>
        <v>|</v>
      </c>
      <c r="AI806" s="26" t="s">
        <v>685</v>
      </c>
    </row>
    <row r="807" spans="1:35" ht="24" customHeight="1">
      <c r="A807" s="50"/>
      <c r="B807" s="51" t="s">
        <v>1224</v>
      </c>
      <c r="C807" s="52">
        <v>2107</v>
      </c>
      <c r="D807" s="66"/>
      <c r="F807" s="76">
        <v>9</v>
      </c>
      <c r="G807" s="38" t="s">
        <v>93</v>
      </c>
      <c r="H807" s="26" t="s">
        <v>1225</v>
      </c>
      <c r="I807" s="40">
        <f>C73</f>
        <v>2923.8</v>
      </c>
      <c r="J807" s="26" t="s">
        <v>93</v>
      </c>
      <c r="K807" s="40">
        <f t="shared" ref="K807:K812" si="94">F807*I807</f>
        <v>26314.2</v>
      </c>
      <c r="O807" s="26" t="s">
        <v>1226</v>
      </c>
      <c r="S807" s="32">
        <v>1</v>
      </c>
      <c r="T807" s="28" t="s">
        <v>475</v>
      </c>
      <c r="U807" s="28" t="s">
        <v>1227</v>
      </c>
      <c r="V807" s="28">
        <f>K819</f>
        <v>98.98</v>
      </c>
      <c r="X807" s="28">
        <f t="shared" si="93"/>
        <v>98.98</v>
      </c>
      <c r="AG807" s="47" t="str">
        <f t="shared" si="88"/>
        <v>|</v>
      </c>
      <c r="AI807" s="26" t="s">
        <v>685</v>
      </c>
    </row>
    <row r="808" spans="1:35" ht="24" customHeight="1">
      <c r="A808" s="50"/>
      <c r="B808" s="51" t="s">
        <v>1228</v>
      </c>
      <c r="C808" s="47">
        <v>922</v>
      </c>
      <c r="D808" s="66"/>
      <c r="F808" s="76">
        <v>4.3079999999999998</v>
      </c>
      <c r="G808" s="38" t="s">
        <v>84</v>
      </c>
      <c r="H808" s="26" t="s">
        <v>85</v>
      </c>
      <c r="I808" s="40">
        <f>C67</f>
        <v>5800</v>
      </c>
      <c r="J808" s="26" t="s">
        <v>84</v>
      </c>
      <c r="K808" s="40">
        <f t="shared" si="94"/>
        <v>24986.399999999998</v>
      </c>
      <c r="N808" s="26" t="s">
        <v>1085</v>
      </c>
      <c r="O808" s="26" t="s">
        <v>1229</v>
      </c>
      <c r="P808" s="40">
        <f>C34/1000</f>
        <v>41.2</v>
      </c>
      <c r="R808" s="40" t="e">
        <f>(#VALUE!*P808)</f>
        <v>#VALUE!</v>
      </c>
      <c r="S808" s="144" t="s">
        <v>363</v>
      </c>
      <c r="U808" s="28" t="s">
        <v>1230</v>
      </c>
      <c r="V808" s="144" t="s">
        <v>363</v>
      </c>
      <c r="X808" s="28">
        <v>270</v>
      </c>
      <c r="AG808" s="47" t="str">
        <f t="shared" si="88"/>
        <v>|</v>
      </c>
      <c r="AI808" s="26" t="s">
        <v>685</v>
      </c>
    </row>
    <row r="809" spans="1:35" ht="24" customHeight="1">
      <c r="A809" s="50"/>
      <c r="B809" s="51" t="s">
        <v>1231</v>
      </c>
      <c r="C809" s="47">
        <v>636</v>
      </c>
      <c r="D809" s="66"/>
      <c r="F809" s="76">
        <v>4.5</v>
      </c>
      <c r="G809" s="38" t="s">
        <v>93</v>
      </c>
      <c r="H809" s="26" t="s">
        <v>94</v>
      </c>
      <c r="I809" s="40">
        <f>C78</f>
        <v>2765.84</v>
      </c>
      <c r="J809" s="26" t="s">
        <v>93</v>
      </c>
      <c r="K809" s="40">
        <f t="shared" si="94"/>
        <v>12446.28</v>
      </c>
      <c r="O809" s="26" t="s">
        <v>1232</v>
      </c>
      <c r="S809" s="144" t="s">
        <v>363</v>
      </c>
      <c r="U809" s="28" t="s">
        <v>1233</v>
      </c>
      <c r="V809" s="144" t="s">
        <v>363</v>
      </c>
      <c r="X809" s="28">
        <v>150</v>
      </c>
      <c r="AG809" s="47" t="str">
        <f t="shared" si="88"/>
        <v>|</v>
      </c>
      <c r="AI809" s="26" t="s">
        <v>685</v>
      </c>
    </row>
    <row r="810" spans="1:35" ht="24" customHeight="1">
      <c r="A810" s="50"/>
      <c r="B810" s="51" t="s">
        <v>1234</v>
      </c>
      <c r="C810" s="47">
        <v>497</v>
      </c>
      <c r="D810" s="66"/>
      <c r="F810" s="76">
        <v>3.5</v>
      </c>
      <c r="G810" s="38" t="s">
        <v>105</v>
      </c>
      <c r="H810" s="26" t="s">
        <v>269</v>
      </c>
      <c r="I810" s="40">
        <f>C11</f>
        <v>1005.1999999999999</v>
      </c>
      <c r="J810" s="26" t="s">
        <v>105</v>
      </c>
      <c r="K810" s="40">
        <f t="shared" si="94"/>
        <v>3518.2</v>
      </c>
      <c r="O810" s="26" t="s">
        <v>1235</v>
      </c>
      <c r="S810" s="144" t="s">
        <v>363</v>
      </c>
      <c r="U810" s="28" t="s">
        <v>1236</v>
      </c>
      <c r="V810" s="144" t="s">
        <v>363</v>
      </c>
      <c r="X810" s="28">
        <v>0.06</v>
      </c>
      <c r="AG810" s="47" t="str">
        <f t="shared" si="88"/>
        <v>|</v>
      </c>
      <c r="AI810" s="26" t="s">
        <v>685</v>
      </c>
    </row>
    <row r="811" spans="1:35" ht="24" customHeight="1">
      <c r="A811" s="50"/>
      <c r="B811" s="66"/>
      <c r="C811" s="66"/>
      <c r="D811" s="66"/>
      <c r="F811" s="76">
        <v>21.2</v>
      </c>
      <c r="G811" s="38" t="s">
        <v>105</v>
      </c>
      <c r="H811" s="26" t="s">
        <v>271</v>
      </c>
      <c r="I811" s="40">
        <f>C12</f>
        <v>702.8</v>
      </c>
      <c r="J811" s="26" t="s">
        <v>105</v>
      </c>
      <c r="K811" s="40">
        <f t="shared" si="94"/>
        <v>14899.359999999999</v>
      </c>
      <c r="N811" s="26" t="s">
        <v>438</v>
      </c>
      <c r="O811" s="26" t="s">
        <v>1237</v>
      </c>
      <c r="P811" s="40">
        <f>C272</f>
        <v>300.89999999999998</v>
      </c>
      <c r="R811" s="40" t="e">
        <f t="shared" ref="R811:R817" si="95">(#VALUE!*P811)</f>
        <v>#VALUE!</v>
      </c>
      <c r="X811" s="41">
        <f>SUM(X800:X810)</f>
        <v>9874.9955999999984</v>
      </c>
      <c r="Y811" s="41"/>
      <c r="Z811" s="28">
        <v>59.4</v>
      </c>
      <c r="AA811" s="28">
        <v>117</v>
      </c>
      <c r="AG811" s="47" t="str">
        <f t="shared" si="88"/>
        <v>|</v>
      </c>
      <c r="AI811" s="26" t="s">
        <v>685</v>
      </c>
    </row>
    <row r="812" spans="1:35" ht="24" customHeight="1">
      <c r="A812" s="50"/>
      <c r="B812" s="51" t="s">
        <v>1238</v>
      </c>
      <c r="C812" s="66">
        <v>3.15</v>
      </c>
      <c r="D812" s="66"/>
      <c r="F812" s="76">
        <v>35.299999999999997</v>
      </c>
      <c r="G812" s="38" t="s">
        <v>105</v>
      </c>
      <c r="H812" s="26" t="s">
        <v>276</v>
      </c>
      <c r="I812" s="40">
        <f>C13</f>
        <v>576.79999999999995</v>
      </c>
      <c r="J812" s="26" t="s">
        <v>105</v>
      </c>
      <c r="K812" s="40">
        <f t="shared" si="94"/>
        <v>20361.039999999997</v>
      </c>
      <c r="N812" s="26" t="s">
        <v>105</v>
      </c>
      <c r="O812" s="26" t="s">
        <v>1239</v>
      </c>
      <c r="P812" s="40">
        <v>5</v>
      </c>
      <c r="R812" s="40" t="e">
        <f t="shared" si="95"/>
        <v>#VALUE!</v>
      </c>
      <c r="AG812" s="47" t="str">
        <f t="shared" si="88"/>
        <v>|</v>
      </c>
      <c r="AI812" s="26" t="s">
        <v>685</v>
      </c>
    </row>
    <row r="813" spans="1:35" ht="24" customHeight="1">
      <c r="A813" s="50"/>
      <c r="B813" s="66"/>
      <c r="C813" s="66"/>
      <c r="D813" s="66"/>
      <c r="F813" s="138" t="s">
        <v>106</v>
      </c>
      <c r="H813" s="26" t="s">
        <v>107</v>
      </c>
      <c r="J813" s="26" t="s">
        <v>106</v>
      </c>
      <c r="K813" s="40">
        <v>0</v>
      </c>
      <c r="N813" s="26" t="s">
        <v>105</v>
      </c>
      <c r="O813" s="26" t="s">
        <v>1240</v>
      </c>
      <c r="P813" s="40">
        <v>10</v>
      </c>
      <c r="R813" s="40" t="e">
        <f t="shared" si="95"/>
        <v>#VALUE!</v>
      </c>
      <c r="AG813" s="47" t="str">
        <f t="shared" ref="AG813:AG876" si="96">AI813</f>
        <v>|</v>
      </c>
      <c r="AI813" s="26" t="s">
        <v>685</v>
      </c>
    </row>
    <row r="814" spans="1:35" ht="24" customHeight="1">
      <c r="A814" s="50"/>
      <c r="B814" s="51" t="s">
        <v>1241</v>
      </c>
      <c r="C814" s="71">
        <v>10.199999999999999</v>
      </c>
      <c r="D814" s="66"/>
      <c r="K814" s="35" t="s">
        <v>48</v>
      </c>
      <c r="N814" s="26" t="s">
        <v>105</v>
      </c>
      <c r="O814" s="26" t="s">
        <v>1242</v>
      </c>
      <c r="P814" s="40">
        <v>8</v>
      </c>
      <c r="R814" s="40" t="e">
        <f t="shared" si="95"/>
        <v>#VALUE!</v>
      </c>
      <c r="U814" s="41" t="s">
        <v>1243</v>
      </c>
      <c r="AG814" s="47" t="str">
        <f t="shared" si="96"/>
        <v>|</v>
      </c>
      <c r="AI814" s="26" t="s">
        <v>685</v>
      </c>
    </row>
    <row r="815" spans="1:35" ht="24" customHeight="1">
      <c r="A815" s="50"/>
      <c r="B815" s="51" t="s">
        <v>1244</v>
      </c>
      <c r="C815" s="71">
        <v>28.5</v>
      </c>
      <c r="D815" s="66"/>
      <c r="H815" s="27" t="s">
        <v>280</v>
      </c>
      <c r="K815" s="40">
        <f>SUM(K807:K813)</f>
        <v>102525.48</v>
      </c>
      <c r="N815" s="26" t="s">
        <v>1125</v>
      </c>
      <c r="O815" s="26" t="s">
        <v>1245</v>
      </c>
      <c r="P815" s="40">
        <v>13.66</v>
      </c>
      <c r="R815" s="40" t="e">
        <f t="shared" si="95"/>
        <v>#VALUE!</v>
      </c>
      <c r="S815" s="32">
        <v>0.45300000000000001</v>
      </c>
      <c r="T815" s="28" t="s">
        <v>475</v>
      </c>
      <c r="U815" s="28" t="s">
        <v>1209</v>
      </c>
      <c r="V815" s="28">
        <f>V800</f>
        <v>2923.8</v>
      </c>
      <c r="X815" s="28">
        <f>V815*S815</f>
        <v>1324.4814000000001</v>
      </c>
      <c r="AA815" s="28">
        <f>X826+Z811</f>
        <v>9892.7605999999996</v>
      </c>
      <c r="AG815" s="47" t="str">
        <f t="shared" si="96"/>
        <v>|</v>
      </c>
      <c r="AI815" s="26" t="s">
        <v>685</v>
      </c>
    </row>
    <row r="816" spans="1:35" ht="24" customHeight="1">
      <c r="A816" s="50"/>
      <c r="B816" s="66"/>
      <c r="C816" s="66" t="s">
        <v>1246</v>
      </c>
      <c r="D816" s="66"/>
      <c r="K816" s="35" t="s">
        <v>41</v>
      </c>
      <c r="N816" s="26" t="s">
        <v>438</v>
      </c>
      <c r="O816" s="26" t="s">
        <v>1247</v>
      </c>
      <c r="P816" s="40">
        <v>25.46</v>
      </c>
      <c r="R816" s="40" t="e">
        <f t="shared" si="95"/>
        <v>#VALUE!</v>
      </c>
      <c r="S816" s="32">
        <v>0.30199999999999999</v>
      </c>
      <c r="T816" s="28" t="s">
        <v>475</v>
      </c>
      <c r="U816" s="28" t="s">
        <v>1212</v>
      </c>
      <c r="V816" s="28">
        <f t="shared" ref="V816:V825" si="97">V801</f>
        <v>2479.8000000000002</v>
      </c>
      <c r="X816" s="28">
        <f t="shared" ref="X816:X822" si="98">V816*S816</f>
        <v>748.89960000000008</v>
      </c>
      <c r="AA816" s="28">
        <f>AA815+AA811</f>
        <v>10009.7606</v>
      </c>
      <c r="AG816" s="47" t="str">
        <f t="shared" si="96"/>
        <v>|</v>
      </c>
      <c r="AI816" s="26" t="s">
        <v>685</v>
      </c>
    </row>
    <row r="817" spans="1:35" ht="24" customHeight="1">
      <c r="A817" s="151"/>
      <c r="H817" s="26" t="s">
        <v>201</v>
      </c>
      <c r="K817" s="40">
        <f>K815/10</f>
        <v>10252.547999999999</v>
      </c>
      <c r="N817" s="26" t="s">
        <v>105</v>
      </c>
      <c r="O817" s="26" t="s">
        <v>1248</v>
      </c>
      <c r="P817" s="40">
        <v>0.5</v>
      </c>
      <c r="R817" s="40" t="e">
        <f t="shared" si="95"/>
        <v>#VALUE!</v>
      </c>
      <c r="S817" s="32">
        <v>0.44</v>
      </c>
      <c r="T817" s="28" t="s">
        <v>475</v>
      </c>
      <c r="U817" s="28" t="s">
        <v>17</v>
      </c>
      <c r="V817" s="28">
        <f t="shared" si="97"/>
        <v>2765.84</v>
      </c>
      <c r="X817" s="28">
        <f t="shared" si="98"/>
        <v>1216.9696000000001</v>
      </c>
      <c r="AA817" s="28">
        <f>AA816+AA811</f>
        <v>10126.7606</v>
      </c>
      <c r="AG817" s="47" t="str">
        <f t="shared" si="96"/>
        <v>|</v>
      </c>
      <c r="AI817" s="26" t="s">
        <v>685</v>
      </c>
    </row>
    <row r="818" spans="1:35" ht="24" customHeight="1">
      <c r="A818" s="151"/>
      <c r="R818" s="40">
        <v>0.54</v>
      </c>
      <c r="S818" s="32">
        <v>0.37</v>
      </c>
      <c r="T818" s="28" t="s">
        <v>962</v>
      </c>
      <c r="U818" s="28" t="s">
        <v>26</v>
      </c>
      <c r="V818" s="28">
        <f t="shared" si="97"/>
        <v>5800</v>
      </c>
      <c r="X818" s="28">
        <f t="shared" si="98"/>
        <v>2146</v>
      </c>
      <c r="AA818" s="28">
        <f>AA817+AA811</f>
        <v>10243.7606</v>
      </c>
      <c r="AG818" s="47" t="str">
        <f t="shared" si="96"/>
        <v>|</v>
      </c>
      <c r="AI818" s="26" t="s">
        <v>685</v>
      </c>
    </row>
    <row r="819" spans="1:35" ht="24" customHeight="1">
      <c r="A819" s="151"/>
      <c r="F819" s="40">
        <v>1</v>
      </c>
      <c r="G819" s="38" t="s">
        <v>93</v>
      </c>
      <c r="H819" s="26" t="s">
        <v>523</v>
      </c>
      <c r="I819" s="40">
        <f>C25</f>
        <v>98.98</v>
      </c>
      <c r="K819" s="40">
        <f>F819*I819</f>
        <v>98.98</v>
      </c>
      <c r="R819" s="35" t="s">
        <v>48</v>
      </c>
      <c r="S819" s="32">
        <v>0.35</v>
      </c>
      <c r="T819" s="28" t="s">
        <v>969</v>
      </c>
      <c r="U819" s="28" t="s">
        <v>970</v>
      </c>
      <c r="V819" s="28">
        <f t="shared" si="97"/>
        <v>1005.1999999999999</v>
      </c>
      <c r="W819" s="28">
        <f>J825</f>
        <v>0</v>
      </c>
      <c r="X819" s="28">
        <f t="shared" si="98"/>
        <v>351.81999999999994</v>
      </c>
      <c r="AA819" s="28">
        <f>AA811+AA818</f>
        <v>10360.7606</v>
      </c>
      <c r="AG819" s="47" t="str">
        <f t="shared" si="96"/>
        <v>|</v>
      </c>
      <c r="AI819" s="26" t="s">
        <v>685</v>
      </c>
    </row>
    <row r="820" spans="1:35" ht="24" customHeight="1">
      <c r="A820" s="151"/>
      <c r="K820" s="35" t="s">
        <v>48</v>
      </c>
      <c r="O820" s="27" t="s">
        <v>1249</v>
      </c>
      <c r="R820" s="40" t="e">
        <f>SUM(R808:R818)</f>
        <v>#VALUE!</v>
      </c>
      <c r="S820" s="32">
        <v>2.12</v>
      </c>
      <c r="T820" s="28" t="s">
        <v>969</v>
      </c>
      <c r="U820" s="28" t="s">
        <v>973</v>
      </c>
      <c r="V820" s="28">
        <f t="shared" si="97"/>
        <v>702.8</v>
      </c>
      <c r="X820" s="28">
        <f t="shared" si="98"/>
        <v>1489.9359999999999</v>
      </c>
      <c r="AA820" s="28">
        <f>AA811+AA819</f>
        <v>10477.7606</v>
      </c>
      <c r="AG820" s="47" t="str">
        <f t="shared" si="96"/>
        <v>|</v>
      </c>
      <c r="AI820" s="26" t="s">
        <v>685</v>
      </c>
    </row>
    <row r="821" spans="1:35" ht="24" customHeight="1">
      <c r="K821" s="40">
        <f>SUM(K817:K819)</f>
        <v>10351.527999999998</v>
      </c>
      <c r="S821" s="32">
        <v>3.53</v>
      </c>
      <c r="T821" s="28" t="s">
        <v>969</v>
      </c>
      <c r="U821" s="28" t="s">
        <v>977</v>
      </c>
      <c r="V821" s="28">
        <f t="shared" si="97"/>
        <v>576.79999999999995</v>
      </c>
      <c r="X821" s="28">
        <f t="shared" si="98"/>
        <v>2036.1039999999998</v>
      </c>
      <c r="AA821" s="28">
        <f>AA811+AA820</f>
        <v>10594.7606</v>
      </c>
      <c r="AG821" s="47" t="str">
        <f t="shared" si="96"/>
        <v>|</v>
      </c>
      <c r="AI821" s="26" t="s">
        <v>685</v>
      </c>
    </row>
    <row r="822" spans="1:35" ht="24" customHeight="1">
      <c r="A822" s="151"/>
      <c r="K822" s="35" t="s">
        <v>48</v>
      </c>
      <c r="R822" s="35" t="s">
        <v>48</v>
      </c>
      <c r="S822" s="32">
        <v>1</v>
      </c>
      <c r="T822" s="28" t="s">
        <v>475</v>
      </c>
      <c r="U822" s="28" t="s">
        <v>1227</v>
      </c>
      <c r="V822" s="28">
        <f t="shared" si="97"/>
        <v>98.98</v>
      </c>
      <c r="X822" s="28">
        <f t="shared" si="98"/>
        <v>98.98</v>
      </c>
      <c r="AA822" s="28">
        <f>AA811+AA821</f>
        <v>10711.7606</v>
      </c>
      <c r="AG822" s="47" t="str">
        <f t="shared" si="96"/>
        <v>|</v>
      </c>
      <c r="AI822" s="26" t="s">
        <v>685</v>
      </c>
    </row>
    <row r="823" spans="1:35" ht="24" customHeight="1">
      <c r="A823" s="151"/>
      <c r="H823" s="26" t="s">
        <v>309</v>
      </c>
      <c r="K823" s="39">
        <f>(K821+C22)</f>
        <v>10477.387999999999</v>
      </c>
      <c r="S823" s="144" t="s">
        <v>363</v>
      </c>
      <c r="U823" s="28" t="s">
        <v>1230</v>
      </c>
      <c r="V823" s="117" t="str">
        <f t="shared" si="97"/>
        <v>LS</v>
      </c>
      <c r="X823" s="28">
        <v>270</v>
      </c>
      <c r="AA823" s="28">
        <f>AA811+AA822</f>
        <v>10828.7606</v>
      </c>
      <c r="AG823" s="47" t="str">
        <f t="shared" si="96"/>
        <v>|</v>
      </c>
      <c r="AI823" s="26" t="s">
        <v>685</v>
      </c>
    </row>
    <row r="824" spans="1:35" ht="24" customHeight="1">
      <c r="A824" s="151"/>
      <c r="H824" s="26" t="s">
        <v>313</v>
      </c>
      <c r="K824" s="39">
        <f>(K823+C23)</f>
        <v>10725.187999999998</v>
      </c>
      <c r="N824" s="26" t="s">
        <v>1064</v>
      </c>
      <c r="O824" s="26" t="s">
        <v>1250</v>
      </c>
      <c r="S824" s="144" t="s">
        <v>363</v>
      </c>
      <c r="U824" s="28" t="s">
        <v>1233</v>
      </c>
      <c r="V824" s="117" t="str">
        <f t="shared" si="97"/>
        <v>LS</v>
      </c>
      <c r="X824" s="28">
        <v>150</v>
      </c>
      <c r="AA824" s="28">
        <f>AA811+AA823</f>
        <v>10945.7606</v>
      </c>
      <c r="AG824" s="47" t="str">
        <f t="shared" si="96"/>
        <v>|</v>
      </c>
      <c r="AI824" s="26" t="s">
        <v>685</v>
      </c>
    </row>
    <row r="825" spans="1:35" ht="24" customHeight="1">
      <c r="A825" s="151"/>
      <c r="H825" s="26" t="s">
        <v>316</v>
      </c>
      <c r="K825" s="39">
        <f>(K824+C24)</f>
        <v>10972.987999999998</v>
      </c>
      <c r="O825" s="26" t="s">
        <v>1226</v>
      </c>
      <c r="S825" s="144" t="s">
        <v>363</v>
      </c>
      <c r="U825" s="28" t="s">
        <v>1236</v>
      </c>
      <c r="V825" s="117" t="str">
        <f t="shared" si="97"/>
        <v>LS</v>
      </c>
      <c r="X825" s="28">
        <v>0.17</v>
      </c>
      <c r="AG825" s="47" t="str">
        <f t="shared" si="96"/>
        <v>|</v>
      </c>
      <c r="AI825" s="26" t="s">
        <v>685</v>
      </c>
    </row>
    <row r="826" spans="1:35" ht="24" customHeight="1">
      <c r="A826" s="151"/>
      <c r="H826" s="26" t="s">
        <v>318</v>
      </c>
      <c r="K826" s="39">
        <f>(K825+C24)</f>
        <v>11220.787999999997</v>
      </c>
      <c r="N826" s="26" t="s">
        <v>1085</v>
      </c>
      <c r="O826" s="26" t="s">
        <v>1229</v>
      </c>
      <c r="P826" s="40">
        <f>P808</f>
        <v>41.2</v>
      </c>
      <c r="R826" s="40" t="e">
        <f>(#VALUE!*P826)</f>
        <v>#VALUE!</v>
      </c>
      <c r="X826" s="41">
        <f>SUM(X815:X825)</f>
        <v>9833.3606</v>
      </c>
      <c r="Y826" s="41"/>
      <c r="AG826" s="47" t="str">
        <f t="shared" si="96"/>
        <v>|</v>
      </c>
      <c r="AI826" s="26" t="s">
        <v>685</v>
      </c>
    </row>
    <row r="827" spans="1:35" ht="24" customHeight="1">
      <c r="H827" s="26" t="s">
        <v>407</v>
      </c>
      <c r="K827" s="39">
        <f>(K826+C24)</f>
        <v>11468.587999999996</v>
      </c>
      <c r="O827" s="26" t="s">
        <v>1232</v>
      </c>
      <c r="AG827" s="47" t="str">
        <f t="shared" si="96"/>
        <v>|</v>
      </c>
      <c r="AI827" s="26" t="s">
        <v>685</v>
      </c>
    </row>
    <row r="828" spans="1:35" ht="24" customHeight="1">
      <c r="H828" s="26">
        <v>5</v>
      </c>
      <c r="K828" s="39">
        <f>(K827+C24)</f>
        <v>11716.387999999995</v>
      </c>
      <c r="O828" s="26"/>
      <c r="AG828" s="47">
        <f>SUM(AG681:AG685)</f>
        <v>8206.1</v>
      </c>
      <c r="AI828" s="26"/>
    </row>
    <row r="829" spans="1:35" ht="24" customHeight="1">
      <c r="H829" s="26">
        <v>6</v>
      </c>
      <c r="K829" s="39">
        <f>(K828+C24)</f>
        <v>11964.187999999995</v>
      </c>
      <c r="O829" s="26"/>
      <c r="AG829" s="47"/>
      <c r="AI829" s="26"/>
    </row>
    <row r="830" spans="1:35" ht="24" customHeight="1">
      <c r="H830" s="26">
        <v>7</v>
      </c>
      <c r="K830" s="39">
        <f>(K829+C24)</f>
        <v>12211.987999999994</v>
      </c>
      <c r="O830" s="26"/>
      <c r="AG830" s="47"/>
      <c r="AI830" s="26"/>
    </row>
    <row r="831" spans="1:35" ht="24" customHeight="1">
      <c r="H831" s="26">
        <v>8</v>
      </c>
      <c r="K831" s="39">
        <f>(K830+C24)</f>
        <v>12459.787999999993</v>
      </c>
      <c r="O831" s="26"/>
      <c r="AG831" s="47"/>
      <c r="AI831" s="26"/>
    </row>
    <row r="832" spans="1:35" ht="24" customHeight="1">
      <c r="H832" s="26">
        <v>9</v>
      </c>
      <c r="K832" s="39">
        <f>(K831+C24)</f>
        <v>12707.587999999992</v>
      </c>
      <c r="O832" s="26"/>
      <c r="AG832" s="47"/>
      <c r="AI832" s="26"/>
    </row>
    <row r="833" spans="6:35" ht="24" customHeight="1">
      <c r="H833" s="26">
        <v>10</v>
      </c>
      <c r="K833" s="39">
        <f>(K832+C24)</f>
        <v>12955.387999999992</v>
      </c>
      <c r="O833" s="26"/>
      <c r="AG833" s="47"/>
      <c r="AI833" s="26"/>
    </row>
    <row r="834" spans="6:35" ht="24" customHeight="1">
      <c r="H834" s="26">
        <v>11</v>
      </c>
      <c r="K834" s="39">
        <f>(K833+C24)</f>
        <v>13203.187999999991</v>
      </c>
      <c r="O834" s="26"/>
      <c r="AG834" s="47"/>
      <c r="AI834" s="26"/>
    </row>
    <row r="835" spans="6:35" ht="24" customHeight="1">
      <c r="H835" s="26">
        <v>12</v>
      </c>
      <c r="K835" s="39">
        <f>(K834+C24)</f>
        <v>13450.98799999999</v>
      </c>
      <c r="O835" s="26"/>
      <c r="AG835" s="47"/>
      <c r="AI835" s="26"/>
    </row>
    <row r="836" spans="6:35" ht="24" customHeight="1">
      <c r="H836" s="26"/>
      <c r="K836" s="39"/>
      <c r="O836" s="26"/>
      <c r="AG836" s="47"/>
      <c r="AI836" s="26"/>
    </row>
    <row r="837" spans="6:35" ht="24" customHeight="1">
      <c r="F837" s="26" t="s">
        <v>27</v>
      </c>
      <c r="O837" s="26" t="s">
        <v>1235</v>
      </c>
      <c r="AG837" s="47" t="str">
        <f t="shared" si="96"/>
        <v>|</v>
      </c>
      <c r="AI837" s="26" t="s">
        <v>685</v>
      </c>
    </row>
    <row r="838" spans="6:35" ht="24" customHeight="1">
      <c r="F838" s="26" t="s">
        <v>27</v>
      </c>
      <c r="G838" s="38" t="s">
        <v>67</v>
      </c>
      <c r="H838" s="27" t="s">
        <v>1251</v>
      </c>
      <c r="N838" s="26" t="s">
        <v>438</v>
      </c>
      <c r="O838" s="26" t="s">
        <v>1252</v>
      </c>
      <c r="P838" s="40">
        <f>C272</f>
        <v>300.89999999999998</v>
      </c>
      <c r="R838" s="40" t="e">
        <f t="shared" ref="R838:R844" si="99">(#VALUE!*P838)</f>
        <v>#VALUE!</v>
      </c>
      <c r="AG838" s="47" t="str">
        <f t="shared" si="96"/>
        <v>|</v>
      </c>
      <c r="AI838" s="26" t="s">
        <v>685</v>
      </c>
    </row>
    <row r="839" spans="6:35" ht="24" customHeight="1">
      <c r="H839" s="35" t="s">
        <v>41</v>
      </c>
      <c r="N839" s="26" t="s">
        <v>105</v>
      </c>
      <c r="O839" s="26" t="s">
        <v>1239</v>
      </c>
      <c r="P839" s="40">
        <v>5</v>
      </c>
      <c r="R839" s="40" t="e">
        <f t="shared" si="99"/>
        <v>#VALUE!</v>
      </c>
      <c r="AG839" s="47" t="str">
        <f t="shared" si="96"/>
        <v>|</v>
      </c>
      <c r="AI839" s="26" t="s">
        <v>685</v>
      </c>
    </row>
    <row r="840" spans="6:35" ht="24" customHeight="1">
      <c r="N840" s="26" t="s">
        <v>105</v>
      </c>
      <c r="O840" s="26" t="s">
        <v>1240</v>
      </c>
      <c r="P840" s="40">
        <v>10</v>
      </c>
      <c r="R840" s="40" t="e">
        <f t="shared" si="99"/>
        <v>#VALUE!</v>
      </c>
      <c r="AG840" s="47" t="str">
        <f t="shared" si="96"/>
        <v>|</v>
      </c>
      <c r="AI840" s="26" t="s">
        <v>685</v>
      </c>
    </row>
    <row r="841" spans="6:35" ht="24" customHeight="1">
      <c r="F841" s="27" t="s">
        <v>1253</v>
      </c>
      <c r="G841" s="38" t="s">
        <v>67</v>
      </c>
      <c r="H841" s="26" t="s">
        <v>1254</v>
      </c>
      <c r="N841" s="26" t="s">
        <v>105</v>
      </c>
      <c r="O841" s="26" t="s">
        <v>1242</v>
      </c>
      <c r="P841" s="40">
        <v>8</v>
      </c>
      <c r="R841" s="40" t="e">
        <f t="shared" si="99"/>
        <v>#VALUE!</v>
      </c>
      <c r="AG841" s="47" t="str">
        <f t="shared" si="96"/>
        <v>|</v>
      </c>
      <c r="AI841" s="26" t="s">
        <v>685</v>
      </c>
    </row>
    <row r="842" spans="6:35" ht="24" customHeight="1">
      <c r="H842" s="26" t="s">
        <v>1255</v>
      </c>
      <c r="N842" s="26" t="s">
        <v>1125</v>
      </c>
      <c r="O842" s="26" t="s">
        <v>1245</v>
      </c>
      <c r="P842" s="40">
        <v>13.66</v>
      </c>
      <c r="R842" s="40" t="e">
        <f t="shared" si="99"/>
        <v>#VALUE!</v>
      </c>
      <c r="AG842" s="47" t="str">
        <f t="shared" si="96"/>
        <v>|</v>
      </c>
      <c r="AI842" s="26" t="s">
        <v>685</v>
      </c>
    </row>
    <row r="843" spans="6:35" ht="24" customHeight="1">
      <c r="H843" s="26" t="s">
        <v>1256</v>
      </c>
      <c r="N843" s="26" t="s">
        <v>438</v>
      </c>
      <c r="O843" s="26" t="s">
        <v>1247</v>
      </c>
      <c r="P843" s="40">
        <v>25.46</v>
      </c>
      <c r="R843" s="40" t="e">
        <f t="shared" si="99"/>
        <v>#VALUE!</v>
      </c>
      <c r="AG843" s="47" t="str">
        <f t="shared" si="96"/>
        <v>|::</v>
      </c>
      <c r="AI843" s="26" t="s">
        <v>469</v>
      </c>
    </row>
    <row r="844" spans="6:35" ht="24" customHeight="1">
      <c r="H844" s="26" t="s">
        <v>1257</v>
      </c>
      <c r="N844" s="26" t="s">
        <v>105</v>
      </c>
      <c r="O844" s="26" t="s">
        <v>1248</v>
      </c>
      <c r="P844" s="40">
        <v>0.5</v>
      </c>
      <c r="R844" s="40" t="e">
        <f t="shared" si="99"/>
        <v>#VALUE!</v>
      </c>
      <c r="AG844" s="47">
        <f t="shared" si="96"/>
        <v>0</v>
      </c>
    </row>
    <row r="845" spans="6:35" ht="24" customHeight="1">
      <c r="H845" s="26" t="s">
        <v>1258</v>
      </c>
      <c r="R845" s="40">
        <v>0.7</v>
      </c>
      <c r="AG845" s="47">
        <f t="shared" si="96"/>
        <v>0</v>
      </c>
    </row>
    <row r="846" spans="6:35" ht="24" customHeight="1">
      <c r="H846" s="26" t="s">
        <v>1259</v>
      </c>
      <c r="R846" s="35" t="s">
        <v>48</v>
      </c>
      <c r="AG846" s="47">
        <f t="shared" si="96"/>
        <v>0</v>
      </c>
    </row>
    <row r="847" spans="6:35" ht="24" customHeight="1">
      <c r="H847" s="26" t="s">
        <v>1260</v>
      </c>
      <c r="O847" s="27" t="s">
        <v>1249</v>
      </c>
      <c r="R847" s="40" t="e">
        <f>SUM(R826:R845)</f>
        <v>#VALUE!</v>
      </c>
      <c r="AG847" s="47" t="str">
        <f t="shared" si="96"/>
        <v>|</v>
      </c>
      <c r="AI847" s="26" t="s">
        <v>685</v>
      </c>
    </row>
    <row r="848" spans="6:35" ht="24" customHeight="1">
      <c r="H848" s="26" t="s">
        <v>1261</v>
      </c>
      <c r="O848" s="28" t="s">
        <v>27</v>
      </c>
      <c r="R848" s="35" t="s">
        <v>48</v>
      </c>
      <c r="AG848" s="47" t="str">
        <f t="shared" si="96"/>
        <v>|</v>
      </c>
      <c r="AI848" s="26" t="s">
        <v>685</v>
      </c>
    </row>
    <row r="849" spans="6:35" ht="24" customHeight="1">
      <c r="H849" s="26" t="s">
        <v>1262</v>
      </c>
      <c r="O849" s="41" t="s">
        <v>1263</v>
      </c>
      <c r="R849" s="35"/>
      <c r="AG849" s="47" t="str">
        <f t="shared" si="96"/>
        <v>|</v>
      </c>
      <c r="AI849" s="26" t="s">
        <v>685</v>
      </c>
    </row>
    <row r="850" spans="6:35" ht="24" customHeight="1">
      <c r="H850" s="26" t="s">
        <v>1264</v>
      </c>
      <c r="O850" s="27" t="s">
        <v>1265</v>
      </c>
      <c r="R850" s="35"/>
      <c r="AG850" s="47" t="str">
        <f t="shared" si="96"/>
        <v>|</v>
      </c>
      <c r="AI850" s="26" t="s">
        <v>685</v>
      </c>
    </row>
    <row r="851" spans="6:35" ht="24" customHeight="1">
      <c r="H851" s="26" t="s">
        <v>1266</v>
      </c>
      <c r="R851" s="35"/>
      <c r="AG851" s="47" t="str">
        <f t="shared" si="96"/>
        <v>|</v>
      </c>
      <c r="AI851" s="26" t="s">
        <v>685</v>
      </c>
    </row>
    <row r="852" spans="6:35" ht="24" customHeight="1">
      <c r="H852" s="26" t="s">
        <v>1267</v>
      </c>
      <c r="M852" s="106">
        <v>6.5000000000000002E-2</v>
      </c>
      <c r="N852" s="38" t="s">
        <v>93</v>
      </c>
      <c r="O852" s="26" t="s">
        <v>1268</v>
      </c>
      <c r="P852" s="40">
        <f>I859</f>
        <v>9554.7423918000004</v>
      </c>
      <c r="Q852" s="26" t="s">
        <v>93</v>
      </c>
      <c r="R852" s="40">
        <f>P852*M852</f>
        <v>621.05825546700009</v>
      </c>
      <c r="AG852" s="47" t="str">
        <f t="shared" si="96"/>
        <v>|</v>
      </c>
      <c r="AI852" s="26" t="s">
        <v>685</v>
      </c>
    </row>
    <row r="853" spans="6:35" ht="24" customHeight="1">
      <c r="H853" s="26" t="s">
        <v>1269</v>
      </c>
      <c r="M853" s="152">
        <v>8.4499999999999993</v>
      </c>
      <c r="N853" s="38" t="s">
        <v>392</v>
      </c>
      <c r="O853" s="26" t="s">
        <v>1270</v>
      </c>
      <c r="P853" s="40">
        <f t="shared" ref="P853:P862" si="100">I860</f>
        <v>78120.5</v>
      </c>
      <c r="Q853" s="26" t="s">
        <v>84</v>
      </c>
      <c r="R853" s="40">
        <f>P853*M853/1000</f>
        <v>660.11822499999994</v>
      </c>
      <c r="AG853" s="47" t="str">
        <f t="shared" si="96"/>
        <v>|</v>
      </c>
      <c r="AI853" s="26" t="s">
        <v>685</v>
      </c>
    </row>
    <row r="854" spans="6:35" ht="24" customHeight="1">
      <c r="H854" s="26" t="s">
        <v>1271</v>
      </c>
      <c r="M854" s="40">
        <v>3</v>
      </c>
      <c r="N854" s="38" t="s">
        <v>105</v>
      </c>
      <c r="O854" s="26" t="s">
        <v>1272</v>
      </c>
      <c r="P854" s="40">
        <f t="shared" si="100"/>
        <v>14.8</v>
      </c>
      <c r="Q854" s="26" t="s">
        <v>105</v>
      </c>
      <c r="R854" s="40">
        <f t="shared" ref="R854:R861" si="101">P854*M854</f>
        <v>44.400000000000006</v>
      </c>
      <c r="AG854" s="47" t="str">
        <f t="shared" si="96"/>
        <v>|</v>
      </c>
      <c r="AI854" s="26" t="s">
        <v>685</v>
      </c>
    </row>
    <row r="855" spans="6:35" ht="24" customHeight="1">
      <c r="M855" s="40">
        <v>12</v>
      </c>
      <c r="N855" s="38" t="s">
        <v>105</v>
      </c>
      <c r="O855" s="26" t="s">
        <v>1273</v>
      </c>
      <c r="P855" s="40">
        <f t="shared" si="100"/>
        <v>2</v>
      </c>
      <c r="Q855" s="26" t="s">
        <v>105</v>
      </c>
      <c r="R855" s="40">
        <f t="shared" si="101"/>
        <v>24</v>
      </c>
      <c r="AG855" s="47" t="str">
        <f t="shared" si="96"/>
        <v>|</v>
      </c>
      <c r="AI855" s="26" t="s">
        <v>685</v>
      </c>
    </row>
    <row r="856" spans="6:35" ht="24" customHeight="1">
      <c r="M856" s="40">
        <v>2</v>
      </c>
      <c r="N856" s="38" t="s">
        <v>105</v>
      </c>
      <c r="O856" s="26" t="s">
        <v>1274</v>
      </c>
      <c r="P856" s="40">
        <f t="shared" si="100"/>
        <v>4.9000000000000004</v>
      </c>
      <c r="Q856" s="26" t="s">
        <v>105</v>
      </c>
      <c r="R856" s="40">
        <f t="shared" si="101"/>
        <v>9.8000000000000007</v>
      </c>
      <c r="AG856" s="47" t="str">
        <f t="shared" si="96"/>
        <v>|</v>
      </c>
      <c r="AI856" s="26" t="s">
        <v>685</v>
      </c>
    </row>
    <row r="857" spans="6:35" ht="24" customHeight="1">
      <c r="G857" s="38" t="s">
        <v>1098</v>
      </c>
      <c r="H857" s="27" t="s">
        <v>1275</v>
      </c>
      <c r="M857" s="40">
        <v>6</v>
      </c>
      <c r="N857" s="38" t="s">
        <v>105</v>
      </c>
      <c r="O857" s="26" t="s">
        <v>1276</v>
      </c>
      <c r="P857" s="40">
        <f t="shared" si="100"/>
        <v>4.45</v>
      </c>
      <c r="Q857" s="26" t="s">
        <v>105</v>
      </c>
      <c r="R857" s="40">
        <f t="shared" si="101"/>
        <v>26.700000000000003</v>
      </c>
      <c r="S857" s="28"/>
      <c r="T857" s="38" t="s">
        <v>1098</v>
      </c>
      <c r="U857" s="27" t="s">
        <v>1277</v>
      </c>
      <c r="W857" s="31"/>
      <c r="AG857" s="47" t="str">
        <f t="shared" si="96"/>
        <v>|</v>
      </c>
      <c r="AI857" s="26" t="s">
        <v>685</v>
      </c>
    </row>
    <row r="858" spans="6:35" ht="24" customHeight="1">
      <c r="H858" s="27" t="s">
        <v>1278</v>
      </c>
      <c r="M858" s="40">
        <v>1</v>
      </c>
      <c r="N858" s="38" t="s">
        <v>105</v>
      </c>
      <c r="O858" s="26" t="s">
        <v>1279</v>
      </c>
      <c r="P858" s="40">
        <f t="shared" si="100"/>
        <v>1076.5999999999999</v>
      </c>
      <c r="Q858" s="26" t="s">
        <v>105</v>
      </c>
      <c r="R858" s="40">
        <f t="shared" si="101"/>
        <v>1076.5999999999999</v>
      </c>
      <c r="S858" s="28"/>
      <c r="T858" s="29"/>
      <c r="U858" s="27" t="s">
        <v>1278</v>
      </c>
      <c r="W858" s="31"/>
      <c r="AG858" s="47" t="str">
        <f t="shared" si="96"/>
        <v>|</v>
      </c>
      <c r="AI858" s="26" t="s">
        <v>685</v>
      </c>
    </row>
    <row r="859" spans="6:35" ht="24" customHeight="1">
      <c r="F859" s="106">
        <v>3.8100000000000002E-2</v>
      </c>
      <c r="G859" s="38" t="s">
        <v>93</v>
      </c>
      <c r="H859" s="26" t="s">
        <v>1268</v>
      </c>
      <c r="I859" s="40">
        <f>I877</f>
        <v>9554.7423918000004</v>
      </c>
      <c r="J859" s="26" t="s">
        <v>93</v>
      </c>
      <c r="K859" s="40">
        <f>F859*I859</f>
        <v>364.03568512758005</v>
      </c>
      <c r="M859" s="40">
        <v>1</v>
      </c>
      <c r="N859" s="38" t="s">
        <v>105</v>
      </c>
      <c r="O859" s="26" t="s">
        <v>1280</v>
      </c>
      <c r="P859" s="40">
        <f t="shared" si="100"/>
        <v>702.8</v>
      </c>
      <c r="Q859" s="26" t="s">
        <v>105</v>
      </c>
      <c r="R859" s="40">
        <f t="shared" si="101"/>
        <v>702.8</v>
      </c>
      <c r="S859" s="106">
        <v>4.9500000000000002E-2</v>
      </c>
      <c r="T859" s="38" t="s">
        <v>93</v>
      </c>
      <c r="U859" s="26" t="s">
        <v>1268</v>
      </c>
      <c r="V859" s="40">
        <f>I859</f>
        <v>9554.7423918000004</v>
      </c>
      <c r="W859" s="26" t="s">
        <v>93</v>
      </c>
      <c r="X859" s="40">
        <f>S859*V859</f>
        <v>472.95974839410002</v>
      </c>
      <c r="Y859" s="40"/>
      <c r="AG859" s="47" t="str">
        <f t="shared" si="96"/>
        <v>|</v>
      </c>
      <c r="AI859" s="26" t="s">
        <v>685</v>
      </c>
    </row>
    <row r="860" spans="6:35" ht="24" customHeight="1">
      <c r="F860" s="153">
        <v>5.01</v>
      </c>
      <c r="G860" s="38" t="s">
        <v>392</v>
      </c>
      <c r="H860" s="26" t="s">
        <v>1270</v>
      </c>
      <c r="I860" s="40">
        <f>I878</f>
        <v>78120.5</v>
      </c>
      <c r="J860" s="26" t="s">
        <v>84</v>
      </c>
      <c r="K860" s="40">
        <f>F860*I860/1000</f>
        <v>391.38370499999996</v>
      </c>
      <c r="M860" s="40">
        <v>1</v>
      </c>
      <c r="N860" s="38" t="s">
        <v>105</v>
      </c>
      <c r="O860" s="26" t="s">
        <v>1281</v>
      </c>
      <c r="P860" s="40">
        <f t="shared" si="100"/>
        <v>25</v>
      </c>
      <c r="Q860" s="26" t="s">
        <v>105</v>
      </c>
      <c r="R860" s="40">
        <f t="shared" si="101"/>
        <v>25</v>
      </c>
      <c r="S860" s="153">
        <v>5.66</v>
      </c>
      <c r="T860" s="38" t="s">
        <v>392</v>
      </c>
      <c r="U860" s="26" t="s">
        <v>1270</v>
      </c>
      <c r="V860" s="40">
        <f t="shared" ref="V860:V868" si="102">I860</f>
        <v>78120.5</v>
      </c>
      <c r="W860" s="26" t="s">
        <v>84</v>
      </c>
      <c r="X860" s="40">
        <f>S860*V860/1000</f>
        <v>442.16203000000002</v>
      </c>
      <c r="Y860" s="40"/>
      <c r="AG860" s="47" t="str">
        <f t="shared" si="96"/>
        <v>|</v>
      </c>
      <c r="AI860" s="26" t="s">
        <v>685</v>
      </c>
    </row>
    <row r="861" spans="6:35" ht="24" customHeight="1">
      <c r="F861" s="40">
        <v>3</v>
      </c>
      <c r="G861" s="38" t="s">
        <v>105</v>
      </c>
      <c r="H861" s="26" t="s">
        <v>1272</v>
      </c>
      <c r="I861" s="104">
        <v>14.8</v>
      </c>
      <c r="J861" s="26" t="s">
        <v>105</v>
      </c>
      <c r="K861" s="40">
        <f t="shared" ref="K861:K868" si="103">F861*I861</f>
        <v>44.400000000000006</v>
      </c>
      <c r="M861" s="40">
        <v>0.5</v>
      </c>
      <c r="N861" s="38" t="s">
        <v>105</v>
      </c>
      <c r="O861" s="26" t="s">
        <v>1282</v>
      </c>
      <c r="P861" s="40">
        <f t="shared" si="100"/>
        <v>576.79999999999995</v>
      </c>
      <c r="Q861" s="26" t="s">
        <v>105</v>
      </c>
      <c r="R861" s="40">
        <f t="shared" si="101"/>
        <v>288.39999999999998</v>
      </c>
      <c r="S861" s="40">
        <v>3</v>
      </c>
      <c r="T861" s="38" t="s">
        <v>105</v>
      </c>
      <c r="U861" s="26" t="s">
        <v>1272</v>
      </c>
      <c r="V861" s="40">
        <f t="shared" si="102"/>
        <v>14.8</v>
      </c>
      <c r="W861" s="26" t="s">
        <v>105</v>
      </c>
      <c r="X861" s="40">
        <f t="shared" ref="X861:X868" si="104">S861*V861</f>
        <v>44.400000000000006</v>
      </c>
      <c r="Y861" s="40"/>
      <c r="AG861" s="47" t="str">
        <f t="shared" si="96"/>
        <v>|</v>
      </c>
      <c r="AI861" s="26" t="s">
        <v>685</v>
      </c>
    </row>
    <row r="862" spans="6:35" ht="24" customHeight="1">
      <c r="F862" s="40">
        <v>12</v>
      </c>
      <c r="G862" s="38" t="s">
        <v>105</v>
      </c>
      <c r="H862" s="26" t="s">
        <v>1273</v>
      </c>
      <c r="I862" s="104">
        <v>2</v>
      </c>
      <c r="J862" s="26" t="s">
        <v>105</v>
      </c>
      <c r="K862" s="40">
        <f t="shared" si="103"/>
        <v>24</v>
      </c>
      <c r="N862" s="38" t="s">
        <v>106</v>
      </c>
      <c r="O862" s="26" t="s">
        <v>1283</v>
      </c>
      <c r="P862" s="40">
        <f t="shared" si="100"/>
        <v>0</v>
      </c>
      <c r="Q862" s="26" t="s">
        <v>106</v>
      </c>
      <c r="R862" s="40">
        <v>2.1</v>
      </c>
      <c r="S862" s="40">
        <v>12</v>
      </c>
      <c r="T862" s="38" t="s">
        <v>105</v>
      </c>
      <c r="U862" s="26" t="s">
        <v>1273</v>
      </c>
      <c r="V862" s="40">
        <f t="shared" si="102"/>
        <v>2</v>
      </c>
      <c r="W862" s="26" t="s">
        <v>105</v>
      </c>
      <c r="X862" s="40">
        <f t="shared" si="104"/>
        <v>24</v>
      </c>
      <c r="Y862" s="40"/>
      <c r="AG862" s="47" t="str">
        <f t="shared" si="96"/>
        <v>|</v>
      </c>
      <c r="AI862" s="26" t="s">
        <v>685</v>
      </c>
    </row>
    <row r="863" spans="6:35" ht="24" customHeight="1">
      <c r="F863" s="40">
        <v>2</v>
      </c>
      <c r="G863" s="38" t="s">
        <v>105</v>
      </c>
      <c r="H863" s="26" t="s">
        <v>1274</v>
      </c>
      <c r="I863" s="104">
        <v>4.9000000000000004</v>
      </c>
      <c r="J863" s="26" t="s">
        <v>105</v>
      </c>
      <c r="K863" s="40">
        <f t="shared" si="103"/>
        <v>9.8000000000000007</v>
      </c>
      <c r="N863" s="29"/>
      <c r="Q863" s="31"/>
      <c r="R863" s="35" t="s">
        <v>48</v>
      </c>
      <c r="S863" s="40">
        <v>2</v>
      </c>
      <c r="T863" s="38" t="s">
        <v>105</v>
      </c>
      <c r="U863" s="26" t="s">
        <v>1274</v>
      </c>
      <c r="V863" s="40">
        <f t="shared" si="102"/>
        <v>4.9000000000000004</v>
      </c>
      <c r="W863" s="26" t="s">
        <v>105</v>
      </c>
      <c r="X863" s="40">
        <f t="shared" si="104"/>
        <v>9.8000000000000007</v>
      </c>
      <c r="Y863" s="40"/>
      <c r="AG863" s="47" t="str">
        <f t="shared" si="96"/>
        <v>|</v>
      </c>
      <c r="AI863" s="26" t="s">
        <v>685</v>
      </c>
    </row>
    <row r="864" spans="6:35" ht="24" customHeight="1">
      <c r="F864" s="40">
        <v>6</v>
      </c>
      <c r="G864" s="38" t="s">
        <v>105</v>
      </c>
      <c r="H864" s="26" t="s">
        <v>1276</v>
      </c>
      <c r="I864" s="104">
        <v>4.45</v>
      </c>
      <c r="J864" s="26" t="s">
        <v>105</v>
      </c>
      <c r="K864" s="40">
        <f t="shared" si="103"/>
        <v>26.700000000000003</v>
      </c>
      <c r="N864" s="29"/>
      <c r="O864" s="42" t="s">
        <v>1284</v>
      </c>
      <c r="Q864" s="31"/>
      <c r="R864" s="100">
        <f>SUM(R852:R862)</f>
        <v>3480.9764804670003</v>
      </c>
      <c r="S864" s="40">
        <v>6</v>
      </c>
      <c r="T864" s="38" t="s">
        <v>105</v>
      </c>
      <c r="U864" s="26" t="s">
        <v>1276</v>
      </c>
      <c r="V864" s="40">
        <f t="shared" si="102"/>
        <v>4.45</v>
      </c>
      <c r="W864" s="26" t="s">
        <v>105</v>
      </c>
      <c r="X864" s="40">
        <f t="shared" si="104"/>
        <v>26.700000000000003</v>
      </c>
      <c r="Y864" s="40"/>
      <c r="AG864" s="47" t="str">
        <f t="shared" si="96"/>
        <v>|</v>
      </c>
      <c r="AI864" s="26" t="s">
        <v>685</v>
      </c>
    </row>
    <row r="865" spans="2:35" ht="24" customHeight="1">
      <c r="F865" s="40">
        <v>1</v>
      </c>
      <c r="G865" s="38" t="s">
        <v>105</v>
      </c>
      <c r="H865" s="26" t="s">
        <v>1279</v>
      </c>
      <c r="I865" s="40">
        <f>C10</f>
        <v>1076.5999999999999</v>
      </c>
      <c r="J865" s="26" t="s">
        <v>105</v>
      </c>
      <c r="K865" s="40">
        <f t="shared" si="103"/>
        <v>1076.5999999999999</v>
      </c>
      <c r="N865" s="29"/>
      <c r="Q865" s="31"/>
      <c r="R865" s="35" t="s">
        <v>48</v>
      </c>
      <c r="S865" s="40">
        <v>1</v>
      </c>
      <c r="T865" s="38" t="s">
        <v>105</v>
      </c>
      <c r="U865" s="26" t="s">
        <v>1279</v>
      </c>
      <c r="V865" s="40">
        <f t="shared" si="102"/>
        <v>1076.5999999999999</v>
      </c>
      <c r="W865" s="26" t="s">
        <v>105</v>
      </c>
      <c r="X865" s="40">
        <f t="shared" si="104"/>
        <v>1076.5999999999999</v>
      </c>
      <c r="Y865" s="40"/>
      <c r="AG865" s="47">
        <f t="shared" si="96"/>
        <v>0</v>
      </c>
      <c r="AI865" s="26"/>
    </row>
    <row r="866" spans="2:35" ht="24" customHeight="1">
      <c r="F866" s="40">
        <v>1</v>
      </c>
      <c r="G866" s="38" t="s">
        <v>105</v>
      </c>
      <c r="H866" s="26" t="s">
        <v>1280</v>
      </c>
      <c r="I866" s="40">
        <f>C12</f>
        <v>702.8</v>
      </c>
      <c r="J866" s="26" t="s">
        <v>105</v>
      </c>
      <c r="K866" s="40">
        <f t="shared" si="103"/>
        <v>702.8</v>
      </c>
      <c r="S866" s="40">
        <v>1</v>
      </c>
      <c r="T866" s="38" t="s">
        <v>105</v>
      </c>
      <c r="U866" s="26" t="s">
        <v>1280</v>
      </c>
      <c r="V866" s="40">
        <f t="shared" si="102"/>
        <v>702.8</v>
      </c>
      <c r="W866" s="26" t="s">
        <v>105</v>
      </c>
      <c r="X866" s="40">
        <f t="shared" si="104"/>
        <v>702.8</v>
      </c>
      <c r="Y866" s="40"/>
      <c r="AG866" s="47">
        <f t="shared" si="96"/>
        <v>0</v>
      </c>
      <c r="AI866" s="26"/>
    </row>
    <row r="867" spans="2:35" ht="24" customHeight="1">
      <c r="F867" s="40">
        <v>1</v>
      </c>
      <c r="G867" s="38" t="s">
        <v>105</v>
      </c>
      <c r="H867" s="26" t="s">
        <v>1281</v>
      </c>
      <c r="I867" s="104">
        <v>25</v>
      </c>
      <c r="J867" s="26" t="s">
        <v>105</v>
      </c>
      <c r="K867" s="40">
        <f t="shared" si="103"/>
        <v>25</v>
      </c>
      <c r="R867" s="35"/>
      <c r="S867" s="40">
        <v>1</v>
      </c>
      <c r="T867" s="38" t="s">
        <v>105</v>
      </c>
      <c r="U867" s="26" t="s">
        <v>1281</v>
      </c>
      <c r="V867" s="40">
        <f t="shared" si="102"/>
        <v>25</v>
      </c>
      <c r="W867" s="26" t="s">
        <v>105</v>
      </c>
      <c r="X867" s="40">
        <f t="shared" si="104"/>
        <v>25</v>
      </c>
      <c r="Y867" s="40"/>
      <c r="AG867" s="47">
        <f t="shared" si="96"/>
        <v>0</v>
      </c>
      <c r="AI867" s="26"/>
    </row>
    <row r="868" spans="2:35" ht="24" customHeight="1">
      <c r="F868" s="40">
        <v>0.5</v>
      </c>
      <c r="G868" s="38" t="s">
        <v>105</v>
      </c>
      <c r="H868" s="26" t="s">
        <v>1282</v>
      </c>
      <c r="I868" s="40">
        <f>C13</f>
        <v>576.79999999999995</v>
      </c>
      <c r="J868" s="26" t="s">
        <v>105</v>
      </c>
      <c r="K868" s="40">
        <f t="shared" si="103"/>
        <v>288.39999999999998</v>
      </c>
      <c r="R868" s="26" t="s">
        <v>27</v>
      </c>
      <c r="S868" s="40">
        <v>0.5</v>
      </c>
      <c r="T868" s="38" t="s">
        <v>105</v>
      </c>
      <c r="U868" s="26" t="s">
        <v>1282</v>
      </c>
      <c r="V868" s="40">
        <f t="shared" si="102"/>
        <v>576.79999999999995</v>
      </c>
      <c r="W868" s="26" t="s">
        <v>105</v>
      </c>
      <c r="X868" s="40">
        <f t="shared" si="104"/>
        <v>288.39999999999998</v>
      </c>
      <c r="Y868" s="40"/>
      <c r="AG868" s="47">
        <f t="shared" si="96"/>
        <v>0</v>
      </c>
      <c r="AI868" s="26"/>
    </row>
    <row r="869" spans="2:35" ht="24" customHeight="1">
      <c r="G869" s="38" t="s">
        <v>106</v>
      </c>
      <c r="H869" s="26" t="s">
        <v>1283</v>
      </c>
      <c r="J869" s="26" t="s">
        <v>106</v>
      </c>
      <c r="K869" s="40">
        <v>1.1299999999999999</v>
      </c>
      <c r="N869" s="26" t="s">
        <v>1098</v>
      </c>
      <c r="O869" s="26" t="s">
        <v>1285</v>
      </c>
      <c r="S869" s="28"/>
      <c r="T869" s="38" t="s">
        <v>106</v>
      </c>
      <c r="U869" s="26" t="s">
        <v>1283</v>
      </c>
      <c r="W869" s="26" t="s">
        <v>106</v>
      </c>
      <c r="X869" s="40">
        <v>0.06</v>
      </c>
      <c r="Y869" s="40"/>
      <c r="AG869" s="47">
        <f t="shared" si="96"/>
        <v>0</v>
      </c>
      <c r="AI869" s="26"/>
    </row>
    <row r="870" spans="2:35" ht="24" customHeight="1">
      <c r="K870" s="35" t="s">
        <v>48</v>
      </c>
      <c r="O870" s="26" t="s">
        <v>1226</v>
      </c>
      <c r="S870" s="28"/>
      <c r="T870" s="29"/>
      <c r="W870" s="31"/>
      <c r="X870" s="35" t="s">
        <v>48</v>
      </c>
      <c r="Y870" s="35"/>
      <c r="AG870" s="47">
        <f t="shared" si="96"/>
        <v>0</v>
      </c>
      <c r="AI870" s="26"/>
    </row>
    <row r="871" spans="2:35" ht="24" customHeight="1">
      <c r="H871" s="42" t="s">
        <v>1284</v>
      </c>
      <c r="K871" s="39">
        <f>SUM(K859:K869)</f>
        <v>2954.2493901275798</v>
      </c>
      <c r="N871" s="26" t="s">
        <v>1085</v>
      </c>
      <c r="O871" s="26" t="s">
        <v>1229</v>
      </c>
      <c r="P871" s="40">
        <f>P826</f>
        <v>41.2</v>
      </c>
      <c r="R871" s="40" t="e">
        <f>(#VALUE!*P871)</f>
        <v>#VALUE!</v>
      </c>
      <c r="S871" s="28"/>
      <c r="T871" s="29"/>
      <c r="U871" s="42" t="s">
        <v>1284</v>
      </c>
      <c r="W871" s="31"/>
      <c r="X871" s="39">
        <f>SUM(X859:X869)</f>
        <v>3112.8817783941004</v>
      </c>
      <c r="Y871" s="39"/>
      <c r="AG871" s="47">
        <f t="shared" si="96"/>
        <v>0</v>
      </c>
      <c r="AI871" s="26"/>
    </row>
    <row r="872" spans="2:35" ht="24" customHeight="1">
      <c r="K872" s="35" t="s">
        <v>48</v>
      </c>
      <c r="O872" s="26" t="s">
        <v>1232</v>
      </c>
      <c r="AG872" s="47">
        <f t="shared" si="96"/>
        <v>0</v>
      </c>
      <c r="AI872" s="26"/>
    </row>
    <row r="873" spans="2:35" ht="24" customHeight="1">
      <c r="O873" s="26" t="s">
        <v>1235</v>
      </c>
      <c r="AG873" s="47">
        <f t="shared" si="96"/>
        <v>0</v>
      </c>
      <c r="AI873" s="26"/>
    </row>
    <row r="874" spans="2:35" ht="24" customHeight="1">
      <c r="N874" s="26" t="s">
        <v>438</v>
      </c>
      <c r="O874" s="26" t="s">
        <v>1286</v>
      </c>
      <c r="P874" s="40">
        <f>C272</f>
        <v>300.89999999999998</v>
      </c>
      <c r="R874" s="40" t="e">
        <f t="shared" ref="R874:R880" si="105">(#VALUE!*P874)</f>
        <v>#VALUE!</v>
      </c>
      <c r="AG874" s="47">
        <f t="shared" si="96"/>
        <v>0</v>
      </c>
      <c r="AI874" s="26"/>
    </row>
    <row r="875" spans="2:35" ht="24" customHeight="1">
      <c r="G875" s="38" t="s">
        <v>1035</v>
      </c>
      <c r="H875" s="27" t="s">
        <v>1287</v>
      </c>
      <c r="N875" s="26" t="s">
        <v>105</v>
      </c>
      <c r="O875" s="26" t="s">
        <v>1239</v>
      </c>
      <c r="P875" s="40">
        <v>5</v>
      </c>
      <c r="R875" s="40" t="e">
        <f t="shared" si="105"/>
        <v>#VALUE!</v>
      </c>
      <c r="S875" s="28"/>
      <c r="T875" s="38" t="s">
        <v>1098</v>
      </c>
      <c r="U875" s="27" t="s">
        <v>1288</v>
      </c>
      <c r="W875" s="31"/>
      <c r="AG875" s="47">
        <f t="shared" si="96"/>
        <v>0</v>
      </c>
      <c r="AI875" s="26"/>
    </row>
    <row r="876" spans="2:35" ht="24" customHeight="1">
      <c r="H876" s="27" t="s">
        <v>1278</v>
      </c>
      <c r="N876" s="26" t="s">
        <v>105</v>
      </c>
      <c r="O876" s="26" t="s">
        <v>1240</v>
      </c>
      <c r="P876" s="40">
        <v>10</v>
      </c>
      <c r="R876" s="40" t="e">
        <f t="shared" si="105"/>
        <v>#VALUE!</v>
      </c>
      <c r="S876" s="28"/>
      <c r="T876" s="29"/>
      <c r="U876" s="27" t="s">
        <v>1278</v>
      </c>
      <c r="W876" s="31"/>
      <c r="AG876" s="47">
        <f t="shared" si="96"/>
        <v>0</v>
      </c>
      <c r="AI876" s="26"/>
    </row>
    <row r="877" spans="2:35" ht="64.5" customHeight="1">
      <c r="B877" s="88" t="s">
        <v>1289</v>
      </c>
      <c r="C877" s="40">
        <f>Z688</f>
        <v>10079.271991799998</v>
      </c>
      <c r="F877" s="106">
        <v>3.6799999999999999E-2</v>
      </c>
      <c r="G877" s="38" t="s">
        <v>93</v>
      </c>
      <c r="H877" s="88" t="s">
        <v>1289</v>
      </c>
      <c r="I877" s="40">
        <f>AA718</f>
        <v>9554.7423918000004</v>
      </c>
      <c r="J877" s="26" t="s">
        <v>93</v>
      </c>
      <c r="K877" s="40">
        <f>F877*I877</f>
        <v>351.61452001824</v>
      </c>
      <c r="N877" s="26" t="s">
        <v>105</v>
      </c>
      <c r="O877" s="26" t="s">
        <v>1242</v>
      </c>
      <c r="P877" s="40">
        <v>8</v>
      </c>
      <c r="R877" s="40" t="e">
        <f t="shared" si="105"/>
        <v>#VALUE!</v>
      </c>
      <c r="S877" s="106">
        <v>5.4699999999999999E-2</v>
      </c>
      <c r="T877" s="38" t="s">
        <v>93</v>
      </c>
      <c r="U877" s="26" t="s">
        <v>1268</v>
      </c>
      <c r="V877" s="40">
        <f>I877</f>
        <v>9554.7423918000004</v>
      </c>
      <c r="W877" s="26" t="s">
        <v>93</v>
      </c>
      <c r="X877" s="40">
        <f>S877*V877</f>
        <v>522.64440883146005</v>
      </c>
      <c r="Y877" s="40"/>
      <c r="AG877" s="47">
        <f t="shared" ref="AG877:AG949" si="106">AI877</f>
        <v>0</v>
      </c>
      <c r="AI877" s="26"/>
    </row>
    <row r="878" spans="2:35" ht="34.5" customHeight="1">
      <c r="B878" s="26" t="s">
        <v>1270</v>
      </c>
      <c r="C878" s="40">
        <f>R1609</f>
        <v>78397.28571428571</v>
      </c>
      <c r="F878" s="40">
        <v>4.87</v>
      </c>
      <c r="G878" s="38" t="s">
        <v>392</v>
      </c>
      <c r="H878" s="26" t="s">
        <v>1270</v>
      </c>
      <c r="I878" s="40">
        <f>K1608</f>
        <v>78120.5</v>
      </c>
      <c r="J878" s="26" t="s">
        <v>84</v>
      </c>
      <c r="K878" s="40">
        <f>F878*I878/1000</f>
        <v>380.44683500000002</v>
      </c>
      <c r="N878" s="26" t="s">
        <v>1125</v>
      </c>
      <c r="O878" s="26" t="s">
        <v>1245</v>
      </c>
      <c r="P878" s="40">
        <v>13.66</v>
      </c>
      <c r="R878" s="40" t="e">
        <f t="shared" si="105"/>
        <v>#VALUE!</v>
      </c>
      <c r="S878" s="153">
        <v>6.16</v>
      </c>
      <c r="T878" s="38" t="s">
        <v>392</v>
      </c>
      <c r="U878" s="26" t="s">
        <v>1270</v>
      </c>
      <c r="V878" s="40">
        <f t="shared" ref="V878:V886" si="107">I878</f>
        <v>78120.5</v>
      </c>
      <c r="W878" s="26" t="s">
        <v>84</v>
      </c>
      <c r="X878" s="40">
        <f>S878*V878/1000</f>
        <v>481.22228000000001</v>
      </c>
      <c r="Y878" s="40"/>
      <c r="AG878" s="47">
        <f t="shared" si="106"/>
        <v>0</v>
      </c>
      <c r="AI878" s="26"/>
    </row>
    <row r="879" spans="2:35" ht="24" customHeight="1">
      <c r="F879" s="40">
        <v>3</v>
      </c>
      <c r="G879" s="38" t="s">
        <v>105</v>
      </c>
      <c r="H879" s="26" t="s">
        <v>1272</v>
      </c>
      <c r="I879" s="150">
        <f>I861</f>
        <v>14.8</v>
      </c>
      <c r="J879" s="26" t="s">
        <v>105</v>
      </c>
      <c r="K879" s="40">
        <f t="shared" ref="K879:K886" si="108">F879*I879</f>
        <v>44.400000000000006</v>
      </c>
      <c r="N879" s="26" t="s">
        <v>438</v>
      </c>
      <c r="O879" s="26" t="s">
        <v>1247</v>
      </c>
      <c r="P879" s="40">
        <v>25.46</v>
      </c>
      <c r="R879" s="40" t="e">
        <f t="shared" si="105"/>
        <v>#VALUE!</v>
      </c>
      <c r="S879" s="40">
        <v>3</v>
      </c>
      <c r="T879" s="38" t="s">
        <v>105</v>
      </c>
      <c r="U879" s="26" t="s">
        <v>1272</v>
      </c>
      <c r="V879" s="40">
        <f t="shared" si="107"/>
        <v>14.8</v>
      </c>
      <c r="W879" s="26" t="s">
        <v>105</v>
      </c>
      <c r="X879" s="40">
        <f t="shared" ref="X879:X886" si="109">S879*V879</f>
        <v>44.400000000000006</v>
      </c>
      <c r="Y879" s="40"/>
      <c r="AG879" s="47">
        <f t="shared" si="106"/>
        <v>0</v>
      </c>
      <c r="AI879" s="26"/>
    </row>
    <row r="880" spans="2:35" ht="24" customHeight="1">
      <c r="F880" s="40">
        <v>12</v>
      </c>
      <c r="G880" s="38" t="s">
        <v>105</v>
      </c>
      <c r="H880" s="26" t="s">
        <v>1273</v>
      </c>
      <c r="I880" s="150">
        <f>I862</f>
        <v>2</v>
      </c>
      <c r="J880" s="26" t="s">
        <v>105</v>
      </c>
      <c r="K880" s="40">
        <f t="shared" si="108"/>
        <v>24</v>
      </c>
      <c r="N880" s="26" t="s">
        <v>105</v>
      </c>
      <c r="O880" s="26" t="s">
        <v>1248</v>
      </c>
      <c r="P880" s="40">
        <v>0.5</v>
      </c>
      <c r="R880" s="40" t="e">
        <f t="shared" si="105"/>
        <v>#VALUE!</v>
      </c>
      <c r="S880" s="40">
        <v>12</v>
      </c>
      <c r="T880" s="38" t="s">
        <v>105</v>
      </c>
      <c r="U880" s="26" t="s">
        <v>1273</v>
      </c>
      <c r="V880" s="40">
        <f t="shared" si="107"/>
        <v>2</v>
      </c>
      <c r="W880" s="26" t="s">
        <v>105</v>
      </c>
      <c r="X880" s="40">
        <f t="shared" si="109"/>
        <v>24</v>
      </c>
      <c r="Y880" s="40"/>
      <c r="AG880" s="47">
        <f t="shared" si="106"/>
        <v>0</v>
      </c>
      <c r="AI880" s="26"/>
    </row>
    <row r="881" spans="6:35" ht="24" customHeight="1">
      <c r="F881" s="40">
        <v>2</v>
      </c>
      <c r="G881" s="38" t="s">
        <v>105</v>
      </c>
      <c r="H881" s="26" t="s">
        <v>1274</v>
      </c>
      <c r="I881" s="150">
        <f>I863</f>
        <v>4.9000000000000004</v>
      </c>
      <c r="J881" s="26" t="s">
        <v>105</v>
      </c>
      <c r="K881" s="40">
        <f t="shared" si="108"/>
        <v>9.8000000000000007</v>
      </c>
      <c r="R881" s="40">
        <v>0.97</v>
      </c>
      <c r="S881" s="40">
        <v>2</v>
      </c>
      <c r="T881" s="38" t="s">
        <v>105</v>
      </c>
      <c r="U881" s="26" t="s">
        <v>1274</v>
      </c>
      <c r="V881" s="40">
        <f t="shared" si="107"/>
        <v>4.9000000000000004</v>
      </c>
      <c r="W881" s="26" t="s">
        <v>105</v>
      </c>
      <c r="X881" s="40">
        <f t="shared" si="109"/>
        <v>9.8000000000000007</v>
      </c>
      <c r="Y881" s="40"/>
      <c r="AG881" s="47">
        <f t="shared" si="106"/>
        <v>0</v>
      </c>
      <c r="AI881" s="26"/>
    </row>
    <row r="882" spans="6:35" ht="24" customHeight="1">
      <c r="F882" s="40">
        <v>6</v>
      </c>
      <c r="G882" s="38" t="s">
        <v>105</v>
      </c>
      <c r="H882" s="26" t="s">
        <v>1276</v>
      </c>
      <c r="I882" s="150">
        <f>I864</f>
        <v>4.45</v>
      </c>
      <c r="J882" s="26" t="s">
        <v>105</v>
      </c>
      <c r="K882" s="40">
        <f t="shared" si="108"/>
        <v>26.700000000000003</v>
      </c>
      <c r="R882" s="35" t="s">
        <v>48</v>
      </c>
      <c r="S882" s="40">
        <v>6</v>
      </c>
      <c r="T882" s="38" t="s">
        <v>105</v>
      </c>
      <c r="U882" s="26" t="s">
        <v>1276</v>
      </c>
      <c r="V882" s="40">
        <f t="shared" si="107"/>
        <v>4.45</v>
      </c>
      <c r="W882" s="26" t="s">
        <v>105</v>
      </c>
      <c r="X882" s="40">
        <f t="shared" si="109"/>
        <v>26.700000000000003</v>
      </c>
      <c r="Y882" s="40"/>
      <c r="AG882" s="47">
        <f t="shared" si="106"/>
        <v>0</v>
      </c>
      <c r="AI882" s="26"/>
    </row>
    <row r="883" spans="6:35" ht="24" customHeight="1">
      <c r="F883" s="40">
        <v>1</v>
      </c>
      <c r="G883" s="38" t="s">
        <v>105</v>
      </c>
      <c r="H883" s="26" t="s">
        <v>1279</v>
      </c>
      <c r="I883" s="40">
        <f>C10</f>
        <v>1076.5999999999999</v>
      </c>
      <c r="J883" s="26" t="s">
        <v>105</v>
      </c>
      <c r="K883" s="40">
        <f t="shared" si="108"/>
        <v>1076.5999999999999</v>
      </c>
      <c r="O883" s="27" t="s">
        <v>1249</v>
      </c>
      <c r="R883" s="40" t="e">
        <f>SUM(R871:R881)</f>
        <v>#VALUE!</v>
      </c>
      <c r="S883" s="40">
        <v>1</v>
      </c>
      <c r="T883" s="38" t="s">
        <v>105</v>
      </c>
      <c r="U883" s="26" t="s">
        <v>1279</v>
      </c>
      <c r="V883" s="40">
        <f t="shared" si="107"/>
        <v>1076.5999999999999</v>
      </c>
      <c r="W883" s="26" t="s">
        <v>105</v>
      </c>
      <c r="X883" s="40">
        <f t="shared" si="109"/>
        <v>1076.5999999999999</v>
      </c>
      <c r="Y883" s="40"/>
      <c r="AG883" s="47">
        <f t="shared" si="106"/>
        <v>0</v>
      </c>
      <c r="AI883" s="26"/>
    </row>
    <row r="884" spans="6:35" ht="24" customHeight="1">
      <c r="F884" s="40">
        <v>1</v>
      </c>
      <c r="G884" s="38" t="s">
        <v>105</v>
      </c>
      <c r="H884" s="26" t="s">
        <v>1280</v>
      </c>
      <c r="I884" s="40">
        <f>C12</f>
        <v>702.8</v>
      </c>
      <c r="J884" s="26" t="s">
        <v>105</v>
      </c>
      <c r="K884" s="40">
        <f t="shared" si="108"/>
        <v>702.8</v>
      </c>
      <c r="R884" s="35" t="s">
        <v>48</v>
      </c>
      <c r="S884" s="40">
        <v>1</v>
      </c>
      <c r="T884" s="38" t="s">
        <v>105</v>
      </c>
      <c r="U884" s="26" t="s">
        <v>1280</v>
      </c>
      <c r="V884" s="40">
        <f t="shared" si="107"/>
        <v>702.8</v>
      </c>
      <c r="W884" s="26" t="s">
        <v>105</v>
      </c>
      <c r="X884" s="40">
        <f t="shared" si="109"/>
        <v>702.8</v>
      </c>
      <c r="Y884" s="40"/>
      <c r="AG884" s="47" t="str">
        <f t="shared" si="106"/>
        <v>|</v>
      </c>
      <c r="AI884" s="26" t="s">
        <v>685</v>
      </c>
    </row>
    <row r="885" spans="6:35" ht="24" customHeight="1">
      <c r="F885" s="40">
        <v>1</v>
      </c>
      <c r="G885" s="38" t="s">
        <v>105</v>
      </c>
      <c r="H885" s="26" t="s">
        <v>1281</v>
      </c>
      <c r="I885" s="154">
        <v>25</v>
      </c>
      <c r="J885" s="26" t="s">
        <v>105</v>
      </c>
      <c r="K885" s="40">
        <f t="shared" si="108"/>
        <v>25</v>
      </c>
      <c r="S885" s="40">
        <v>1</v>
      </c>
      <c r="T885" s="38" t="s">
        <v>105</v>
      </c>
      <c r="U885" s="26" t="s">
        <v>1281</v>
      </c>
      <c r="V885" s="40">
        <f t="shared" si="107"/>
        <v>25</v>
      </c>
      <c r="W885" s="26" t="s">
        <v>105</v>
      </c>
      <c r="X885" s="40">
        <f t="shared" si="109"/>
        <v>25</v>
      </c>
      <c r="Y885" s="40"/>
      <c r="AG885" s="47" t="str">
        <f t="shared" si="106"/>
        <v>|</v>
      </c>
      <c r="AI885" s="26" t="s">
        <v>685</v>
      </c>
    </row>
    <row r="886" spans="6:35" ht="24" customHeight="1">
      <c r="F886" s="40">
        <v>0.5</v>
      </c>
      <c r="G886" s="38" t="s">
        <v>105</v>
      </c>
      <c r="H886" s="26" t="s">
        <v>1282</v>
      </c>
      <c r="I886" s="40">
        <f>C13</f>
        <v>576.79999999999995</v>
      </c>
      <c r="J886" s="26" t="s">
        <v>105</v>
      </c>
      <c r="K886" s="40">
        <f t="shared" si="108"/>
        <v>288.39999999999998</v>
      </c>
      <c r="M886" s="27" t="s">
        <v>1290</v>
      </c>
      <c r="N886" s="26" t="s">
        <v>67</v>
      </c>
      <c r="O886" s="26" t="s">
        <v>1291</v>
      </c>
      <c r="S886" s="40">
        <v>0.5</v>
      </c>
      <c r="T886" s="38" t="s">
        <v>105</v>
      </c>
      <c r="U886" s="26" t="s">
        <v>1282</v>
      </c>
      <c r="V886" s="40">
        <f t="shared" si="107"/>
        <v>576.79999999999995</v>
      </c>
      <c r="W886" s="26" t="s">
        <v>105</v>
      </c>
      <c r="X886" s="40">
        <f t="shared" si="109"/>
        <v>288.39999999999998</v>
      </c>
      <c r="Y886" s="40"/>
      <c r="AG886" s="47" t="str">
        <f t="shared" si="106"/>
        <v>|</v>
      </c>
      <c r="AI886" s="26" t="s">
        <v>685</v>
      </c>
    </row>
    <row r="887" spans="6:35" ht="24" customHeight="1">
      <c r="G887" s="38" t="s">
        <v>106</v>
      </c>
      <c r="H887" s="26" t="s">
        <v>1283</v>
      </c>
      <c r="J887" s="26" t="s">
        <v>106</v>
      </c>
      <c r="K887" s="40">
        <v>1.98</v>
      </c>
      <c r="O887" s="26" t="s">
        <v>1292</v>
      </c>
      <c r="S887" s="28"/>
      <c r="T887" s="38" t="s">
        <v>106</v>
      </c>
      <c r="U887" s="26" t="s">
        <v>1283</v>
      </c>
      <c r="W887" s="26" t="s">
        <v>106</v>
      </c>
      <c r="X887" s="40">
        <v>0.27</v>
      </c>
      <c r="Y887" s="40"/>
      <c r="AG887" s="47" t="str">
        <f t="shared" si="106"/>
        <v>|</v>
      </c>
      <c r="AI887" s="26" t="s">
        <v>685</v>
      </c>
    </row>
    <row r="888" spans="6:35" ht="24" customHeight="1">
      <c r="K888" s="35" t="s">
        <v>48</v>
      </c>
      <c r="O888" s="35" t="s">
        <v>48</v>
      </c>
      <c r="P888" s="35" t="s">
        <v>48</v>
      </c>
      <c r="S888" s="28"/>
      <c r="T888" s="29"/>
      <c r="W888" s="31"/>
      <c r="X888" s="35" t="s">
        <v>48</v>
      </c>
      <c r="Y888" s="35"/>
      <c r="AG888" s="47" t="str">
        <f t="shared" si="106"/>
        <v>|</v>
      </c>
      <c r="AI888" s="26" t="s">
        <v>685</v>
      </c>
    </row>
    <row r="889" spans="6:35" ht="24" customHeight="1">
      <c r="H889" s="42" t="s">
        <v>1284</v>
      </c>
      <c r="K889" s="39">
        <f>SUM(K877:K887)</f>
        <v>2931.74135501824</v>
      </c>
      <c r="L889" s="28">
        <f>K889-1729</f>
        <v>1202.74135501824</v>
      </c>
      <c r="O889" s="26" t="s">
        <v>1293</v>
      </c>
      <c r="S889" s="28"/>
      <c r="T889" s="29"/>
      <c r="U889" s="42" t="s">
        <v>1284</v>
      </c>
      <c r="W889" s="31"/>
      <c r="X889" s="39">
        <f>SUM(X877:X887)</f>
        <v>3201.8366888314604</v>
      </c>
      <c r="Y889" s="39"/>
      <c r="AG889" s="47" t="str">
        <f t="shared" si="106"/>
        <v>|</v>
      </c>
      <c r="AI889" s="26" t="s">
        <v>685</v>
      </c>
    </row>
    <row r="890" spans="6:35" ht="24" customHeight="1">
      <c r="K890" s="35" t="s">
        <v>48</v>
      </c>
      <c r="M890" s="40">
        <v>0.5</v>
      </c>
      <c r="N890" s="27" t="s">
        <v>196</v>
      </c>
      <c r="O890" s="26" t="s">
        <v>148</v>
      </c>
      <c r="P890" s="40">
        <f>C16</f>
        <v>1052.8</v>
      </c>
      <c r="Q890" s="27" t="s">
        <v>1083</v>
      </c>
      <c r="R890" s="40">
        <f>(M890*P890)</f>
        <v>526.4</v>
      </c>
      <c r="AG890" s="47" t="str">
        <f t="shared" si="106"/>
        <v>|</v>
      </c>
      <c r="AI890" s="26" t="s">
        <v>685</v>
      </c>
    </row>
    <row r="891" spans="6:35" ht="24" customHeight="1">
      <c r="F891" s="27"/>
      <c r="G891" s="38" t="s">
        <v>1064</v>
      </c>
      <c r="H891" s="27" t="s">
        <v>1294</v>
      </c>
      <c r="K891" s="28">
        <f>K889-1800.2</f>
        <v>1131.54135501824</v>
      </c>
      <c r="M891" s="40">
        <v>0.25</v>
      </c>
      <c r="N891" s="27" t="s">
        <v>196</v>
      </c>
      <c r="O891" s="26" t="s">
        <v>103</v>
      </c>
      <c r="P891" s="40">
        <f>C12</f>
        <v>702.8</v>
      </c>
      <c r="Q891" s="27" t="s">
        <v>1083</v>
      </c>
      <c r="R891" s="40">
        <f>(M891*P891)</f>
        <v>175.7</v>
      </c>
      <c r="S891" s="28"/>
      <c r="T891" s="38" t="s">
        <v>1098</v>
      </c>
      <c r="U891" s="27" t="s">
        <v>1295</v>
      </c>
      <c r="W891" s="31"/>
      <c r="AG891" s="47" t="str">
        <f t="shared" si="106"/>
        <v>|</v>
      </c>
      <c r="AI891" s="26" t="s">
        <v>685</v>
      </c>
    </row>
    <row r="892" spans="6:35" ht="24" customHeight="1">
      <c r="H892" s="27" t="s">
        <v>1278</v>
      </c>
      <c r="R892" s="35" t="s">
        <v>48</v>
      </c>
      <c r="S892" s="28"/>
      <c r="T892" s="29"/>
      <c r="U892" s="27" t="s">
        <v>1278</v>
      </c>
      <c r="W892" s="31"/>
      <c r="AG892" s="47" t="str">
        <f t="shared" si="106"/>
        <v>|</v>
      </c>
      <c r="AI892" s="26" t="s">
        <v>685</v>
      </c>
    </row>
    <row r="893" spans="6:35" ht="24" customHeight="1">
      <c r="F893" s="106">
        <v>3.5299999999999998E-2</v>
      </c>
      <c r="G893" s="38" t="s">
        <v>93</v>
      </c>
      <c r="H893" s="26" t="s">
        <v>1268</v>
      </c>
      <c r="I893" s="40">
        <f t="shared" ref="I893:I898" si="110">I877</f>
        <v>9554.7423918000004</v>
      </c>
      <c r="J893" s="26" t="s">
        <v>93</v>
      </c>
      <c r="K893" s="40">
        <f>F893*I893</f>
        <v>337.28240643053999</v>
      </c>
      <c r="O893" s="27" t="s">
        <v>1296</v>
      </c>
      <c r="R893" s="40">
        <f>SUM(R890:R891)</f>
        <v>702.09999999999991</v>
      </c>
      <c r="S893" s="106">
        <v>5.91E-2</v>
      </c>
      <c r="T893" s="38" t="s">
        <v>93</v>
      </c>
      <c r="U893" s="26" t="s">
        <v>1268</v>
      </c>
      <c r="V893" s="40">
        <f>V877</f>
        <v>9554.7423918000004</v>
      </c>
      <c r="W893" s="26" t="s">
        <v>93</v>
      </c>
      <c r="X893" s="40">
        <f>S893*V893</f>
        <v>564.68527535537999</v>
      </c>
      <c r="Y893" s="40"/>
      <c r="AG893" s="47" t="str">
        <f t="shared" si="106"/>
        <v>|</v>
      </c>
      <c r="AI893" s="26" t="s">
        <v>685</v>
      </c>
    </row>
    <row r="894" spans="6:35" ht="24" customHeight="1">
      <c r="F894" s="40">
        <v>4.59</v>
      </c>
      <c r="G894" s="38" t="s">
        <v>392</v>
      </c>
      <c r="H894" s="26" t="s">
        <v>1270</v>
      </c>
      <c r="I894" s="40">
        <f t="shared" si="110"/>
        <v>78120.5</v>
      </c>
      <c r="J894" s="26" t="s">
        <v>84</v>
      </c>
      <c r="K894" s="40">
        <f>F894*I894/1000</f>
        <v>358.57309499999997</v>
      </c>
      <c r="R894" s="35" t="s">
        <v>48</v>
      </c>
      <c r="S894" s="153">
        <v>6.58</v>
      </c>
      <c r="T894" s="38" t="s">
        <v>392</v>
      </c>
      <c r="U894" s="26" t="s">
        <v>1270</v>
      </c>
      <c r="V894" s="40">
        <f t="shared" ref="V894:V902" si="111">V878</f>
        <v>78120.5</v>
      </c>
      <c r="W894" s="26" t="s">
        <v>84</v>
      </c>
      <c r="X894" s="40">
        <f>S894*V894/1000</f>
        <v>514.03289000000007</v>
      </c>
      <c r="Y894" s="40"/>
      <c r="AG894" s="47" t="str">
        <f t="shared" si="106"/>
        <v>|</v>
      </c>
      <c r="AI894" s="26" t="s">
        <v>685</v>
      </c>
    </row>
    <row r="895" spans="6:35" ht="24" customHeight="1">
      <c r="F895" s="40">
        <v>3</v>
      </c>
      <c r="G895" s="38" t="s">
        <v>105</v>
      </c>
      <c r="H895" s="26" t="s">
        <v>1272</v>
      </c>
      <c r="I895" s="150">
        <f t="shared" si="110"/>
        <v>14.8</v>
      </c>
      <c r="J895" s="26" t="s">
        <v>105</v>
      </c>
      <c r="K895" s="40">
        <f t="shared" ref="K895:K902" si="112">F895*I895</f>
        <v>44.400000000000006</v>
      </c>
      <c r="O895" s="27" t="s">
        <v>1297</v>
      </c>
      <c r="R895" s="40">
        <f>R893/0.0283</f>
        <v>24809.187279151942</v>
      </c>
      <c r="S895" s="40">
        <v>3</v>
      </c>
      <c r="T895" s="38" t="s">
        <v>105</v>
      </c>
      <c r="U895" s="26" t="s">
        <v>1272</v>
      </c>
      <c r="V895" s="40">
        <f t="shared" si="111"/>
        <v>14.8</v>
      </c>
      <c r="W895" s="26" t="s">
        <v>105</v>
      </c>
      <c r="X895" s="40">
        <f t="shared" ref="X895:X902" si="113">S895*V895</f>
        <v>44.400000000000006</v>
      </c>
      <c r="Y895" s="40"/>
      <c r="AG895" s="47" t="str">
        <f t="shared" si="106"/>
        <v>|</v>
      </c>
      <c r="AI895" s="26" t="s">
        <v>685</v>
      </c>
    </row>
    <row r="896" spans="6:35" ht="24" customHeight="1">
      <c r="F896" s="40">
        <v>12</v>
      </c>
      <c r="G896" s="38" t="s">
        <v>105</v>
      </c>
      <c r="H896" s="26" t="s">
        <v>1273</v>
      </c>
      <c r="I896" s="150">
        <f t="shared" si="110"/>
        <v>2</v>
      </c>
      <c r="J896" s="26" t="s">
        <v>105</v>
      </c>
      <c r="K896" s="40">
        <f t="shared" si="112"/>
        <v>24</v>
      </c>
      <c r="R896" s="35" t="s">
        <v>48</v>
      </c>
      <c r="S896" s="40">
        <v>12</v>
      </c>
      <c r="T896" s="38" t="s">
        <v>105</v>
      </c>
      <c r="U896" s="26" t="s">
        <v>1273</v>
      </c>
      <c r="V896" s="40">
        <f t="shared" si="111"/>
        <v>2</v>
      </c>
      <c r="W896" s="26" t="s">
        <v>105</v>
      </c>
      <c r="X896" s="40">
        <f t="shared" si="113"/>
        <v>24</v>
      </c>
      <c r="Y896" s="40"/>
      <c r="AG896" s="47" t="str">
        <f t="shared" si="106"/>
        <v>|</v>
      </c>
      <c r="AI896" s="26" t="s">
        <v>685</v>
      </c>
    </row>
    <row r="897" spans="6:35" ht="24" customHeight="1">
      <c r="F897" s="40">
        <v>2</v>
      </c>
      <c r="G897" s="38" t="s">
        <v>105</v>
      </c>
      <c r="H897" s="40" t="str">
        <f>H881</f>
        <v>TOWER BOLT RECEIVER</v>
      </c>
      <c r="I897" s="150">
        <f t="shared" si="110"/>
        <v>4.9000000000000004</v>
      </c>
      <c r="J897" s="26" t="s">
        <v>105</v>
      </c>
      <c r="K897" s="40">
        <f t="shared" si="112"/>
        <v>9.8000000000000007</v>
      </c>
      <c r="S897" s="40">
        <v>2</v>
      </c>
      <c r="T897" s="38" t="s">
        <v>105</v>
      </c>
      <c r="U897" s="26" t="s">
        <v>1274</v>
      </c>
      <c r="V897" s="40">
        <f t="shared" si="111"/>
        <v>4.9000000000000004</v>
      </c>
      <c r="W897" s="26" t="s">
        <v>105</v>
      </c>
      <c r="X897" s="40">
        <f t="shared" si="113"/>
        <v>9.8000000000000007</v>
      </c>
      <c r="Y897" s="40"/>
      <c r="AG897" s="47" t="str">
        <f t="shared" si="106"/>
        <v>|</v>
      </c>
      <c r="AI897" s="26" t="s">
        <v>685</v>
      </c>
    </row>
    <row r="898" spans="6:35" ht="24" customHeight="1">
      <c r="F898" s="40">
        <v>6</v>
      </c>
      <c r="G898" s="38" t="s">
        <v>105</v>
      </c>
      <c r="H898" s="26" t="s">
        <v>1276</v>
      </c>
      <c r="I898" s="150">
        <f t="shared" si="110"/>
        <v>4.45</v>
      </c>
      <c r="J898" s="26" t="s">
        <v>105</v>
      </c>
      <c r="K898" s="40">
        <f t="shared" si="112"/>
        <v>26.700000000000003</v>
      </c>
      <c r="S898" s="40">
        <v>6</v>
      </c>
      <c r="T898" s="38" t="s">
        <v>105</v>
      </c>
      <c r="U898" s="26" t="s">
        <v>1276</v>
      </c>
      <c r="V898" s="40">
        <f t="shared" si="111"/>
        <v>4.45</v>
      </c>
      <c r="W898" s="26" t="s">
        <v>105</v>
      </c>
      <c r="X898" s="40">
        <f t="shared" si="113"/>
        <v>26.700000000000003</v>
      </c>
      <c r="Y898" s="40"/>
      <c r="AG898" s="47" t="str">
        <f t="shared" si="106"/>
        <v>|</v>
      </c>
      <c r="AI898" s="26" t="s">
        <v>685</v>
      </c>
    </row>
    <row r="899" spans="6:35" ht="24" customHeight="1">
      <c r="F899" s="40">
        <v>1</v>
      </c>
      <c r="G899" s="38" t="s">
        <v>105</v>
      </c>
      <c r="H899" s="26" t="s">
        <v>1279</v>
      </c>
      <c r="I899" s="40">
        <f>C10</f>
        <v>1076.5999999999999</v>
      </c>
      <c r="J899" s="26" t="s">
        <v>105</v>
      </c>
      <c r="K899" s="40">
        <f t="shared" si="112"/>
        <v>1076.5999999999999</v>
      </c>
      <c r="S899" s="40">
        <v>1</v>
      </c>
      <c r="T899" s="38" t="s">
        <v>105</v>
      </c>
      <c r="U899" s="26" t="s">
        <v>1279</v>
      </c>
      <c r="V899" s="40">
        <f t="shared" si="111"/>
        <v>1076.5999999999999</v>
      </c>
      <c r="W899" s="26" t="s">
        <v>105</v>
      </c>
      <c r="X899" s="40">
        <f t="shared" si="113"/>
        <v>1076.5999999999999</v>
      </c>
      <c r="Y899" s="40"/>
      <c r="AG899" s="47" t="str">
        <f t="shared" si="106"/>
        <v>|</v>
      </c>
      <c r="AI899" s="26" t="s">
        <v>685</v>
      </c>
    </row>
    <row r="900" spans="6:35" ht="24" customHeight="1">
      <c r="F900" s="40">
        <v>1</v>
      </c>
      <c r="G900" s="38" t="s">
        <v>105</v>
      </c>
      <c r="H900" s="26" t="s">
        <v>1280</v>
      </c>
      <c r="I900" s="40">
        <f>C12</f>
        <v>702.8</v>
      </c>
      <c r="J900" s="26" t="s">
        <v>105</v>
      </c>
      <c r="K900" s="40">
        <f t="shared" si="112"/>
        <v>702.8</v>
      </c>
      <c r="S900" s="40">
        <v>1</v>
      </c>
      <c r="T900" s="38" t="s">
        <v>105</v>
      </c>
      <c r="U900" s="26" t="s">
        <v>1280</v>
      </c>
      <c r="V900" s="40">
        <f t="shared" si="111"/>
        <v>702.8</v>
      </c>
      <c r="W900" s="26" t="s">
        <v>105</v>
      </c>
      <c r="X900" s="40">
        <f t="shared" si="113"/>
        <v>702.8</v>
      </c>
      <c r="Y900" s="40"/>
      <c r="AG900" s="47" t="str">
        <f t="shared" si="106"/>
        <v>|</v>
      </c>
      <c r="AI900" s="26" t="s">
        <v>685</v>
      </c>
    </row>
    <row r="901" spans="6:35" ht="101.25" customHeight="1">
      <c r="F901" s="40">
        <v>1</v>
      </c>
      <c r="G901" s="38" t="s">
        <v>105</v>
      </c>
      <c r="H901" s="40" t="str">
        <f>H885</f>
        <v>MOULDING CHARGES</v>
      </c>
      <c r="I901" s="104">
        <v>25</v>
      </c>
      <c r="J901" s="26" t="s">
        <v>105</v>
      </c>
      <c r="K901" s="40">
        <f t="shared" si="112"/>
        <v>25</v>
      </c>
      <c r="S901" s="40">
        <v>1</v>
      </c>
      <c r="T901" s="38" t="s">
        <v>105</v>
      </c>
      <c r="U901" s="26" t="s">
        <v>1281</v>
      </c>
      <c r="V901" s="40">
        <f t="shared" si="111"/>
        <v>25</v>
      </c>
      <c r="W901" s="26" t="s">
        <v>105</v>
      </c>
      <c r="X901" s="40">
        <f t="shared" si="113"/>
        <v>25</v>
      </c>
      <c r="Y901" s="40"/>
      <c r="AG901" s="47">
        <f t="shared" si="106"/>
        <v>0</v>
      </c>
    </row>
    <row r="902" spans="6:35" ht="24" customHeight="1">
      <c r="F902" s="40">
        <v>0.5</v>
      </c>
      <c r="G902" s="38" t="s">
        <v>105</v>
      </c>
      <c r="H902" s="26" t="s">
        <v>1282</v>
      </c>
      <c r="I902" s="40">
        <f>C13</f>
        <v>576.79999999999995</v>
      </c>
      <c r="J902" s="26" t="s">
        <v>105</v>
      </c>
      <c r="K902" s="40">
        <f t="shared" si="112"/>
        <v>288.39999999999998</v>
      </c>
      <c r="M902" s="40">
        <v>11.64</v>
      </c>
      <c r="N902" s="26" t="s">
        <v>1125</v>
      </c>
      <c r="O902" s="26" t="s">
        <v>1245</v>
      </c>
      <c r="P902" s="40">
        <v>13.66</v>
      </c>
      <c r="R902" s="40">
        <f>(M902*P902)</f>
        <v>159.00240000000002</v>
      </c>
      <c r="S902" s="40">
        <v>0.5</v>
      </c>
      <c r="T902" s="38" t="s">
        <v>105</v>
      </c>
      <c r="U902" s="26" t="s">
        <v>1282</v>
      </c>
      <c r="V902" s="40">
        <f t="shared" si="111"/>
        <v>576.79999999999995</v>
      </c>
      <c r="W902" s="26" t="s">
        <v>105</v>
      </c>
      <c r="X902" s="40">
        <f t="shared" si="113"/>
        <v>288.39999999999998</v>
      </c>
      <c r="Y902" s="40"/>
      <c r="AG902" s="47">
        <f t="shared" si="106"/>
        <v>0</v>
      </c>
    </row>
    <row r="903" spans="6:35" ht="24" customHeight="1">
      <c r="G903" s="38" t="s">
        <v>106</v>
      </c>
      <c r="H903" s="26" t="s">
        <v>1283</v>
      </c>
      <c r="J903" s="26" t="s">
        <v>106</v>
      </c>
      <c r="K903" s="40">
        <v>1.39</v>
      </c>
      <c r="M903" s="107">
        <v>1.62</v>
      </c>
      <c r="N903" s="26" t="s">
        <v>438</v>
      </c>
      <c r="O903" s="26" t="s">
        <v>1247</v>
      </c>
      <c r="P903" s="40">
        <v>25.46</v>
      </c>
      <c r="R903" s="40">
        <f>(M903*P903)</f>
        <v>41.245200000000004</v>
      </c>
      <c r="S903" s="28"/>
      <c r="T903" s="38" t="s">
        <v>106</v>
      </c>
      <c r="U903" s="26" t="s">
        <v>1283</v>
      </c>
      <c r="W903" s="26" t="s">
        <v>106</v>
      </c>
      <c r="X903" s="40">
        <v>0.21</v>
      </c>
      <c r="Y903" s="40"/>
      <c r="AG903" s="47">
        <f t="shared" si="106"/>
        <v>0</v>
      </c>
    </row>
    <row r="904" spans="6:35" ht="24" customHeight="1">
      <c r="K904" s="35" t="s">
        <v>48</v>
      </c>
      <c r="M904" s="40">
        <v>48</v>
      </c>
      <c r="N904" s="26" t="s">
        <v>105</v>
      </c>
      <c r="O904" s="26" t="s">
        <v>1248</v>
      </c>
      <c r="P904" s="40">
        <v>0.5</v>
      </c>
      <c r="R904" s="40">
        <f>(M904*P904)</f>
        <v>24</v>
      </c>
      <c r="S904" s="28"/>
      <c r="T904" s="29"/>
      <c r="W904" s="31"/>
      <c r="X904" s="35" t="s">
        <v>48</v>
      </c>
      <c r="Y904" s="35"/>
      <c r="AG904" s="47">
        <f t="shared" si="106"/>
        <v>0</v>
      </c>
    </row>
    <row r="905" spans="6:35" ht="24" customHeight="1">
      <c r="H905" s="42" t="s">
        <v>1284</v>
      </c>
      <c r="K905" s="39">
        <f>SUM(K893:K903)</f>
        <v>2894.9455014305395</v>
      </c>
      <c r="R905" s="40">
        <v>0.23</v>
      </c>
      <c r="S905" s="28"/>
      <c r="T905" s="29"/>
      <c r="U905" s="42" t="s">
        <v>1284</v>
      </c>
      <c r="W905" s="31"/>
      <c r="X905" s="39">
        <f>SUM(X893:X903)</f>
        <v>3276.6281653553801</v>
      </c>
      <c r="Y905" s="39"/>
      <c r="AG905" s="47">
        <f t="shared" si="106"/>
        <v>0</v>
      </c>
    </row>
    <row r="906" spans="6:35" ht="24" customHeight="1">
      <c r="K906" s="35" t="s">
        <v>48</v>
      </c>
      <c r="AG906" s="47">
        <f t="shared" si="106"/>
        <v>0</v>
      </c>
    </row>
    <row r="907" spans="6:35" ht="24" customHeight="1">
      <c r="R907" s="35" t="s">
        <v>48</v>
      </c>
      <c r="AG907" s="47">
        <f t="shared" si="106"/>
        <v>0</v>
      </c>
    </row>
    <row r="908" spans="6:35" ht="55.5" customHeight="1">
      <c r="F908" s="155">
        <v>21.3</v>
      </c>
      <c r="G908" s="38" t="s">
        <v>67</v>
      </c>
      <c r="H908" s="156" t="s">
        <v>1298</v>
      </c>
      <c r="O908" s="27" t="s">
        <v>1249</v>
      </c>
      <c r="R908" s="40">
        <f>SUM(R902:R905)</f>
        <v>224.47760000000002</v>
      </c>
      <c r="AG908" s="47">
        <f t="shared" si="106"/>
        <v>0</v>
      </c>
    </row>
    <row r="909" spans="6:35" ht="24" customHeight="1">
      <c r="H909" s="26" t="s">
        <v>1299</v>
      </c>
      <c r="AG909" s="47">
        <f t="shared" si="106"/>
        <v>0</v>
      </c>
    </row>
    <row r="910" spans="6:35" ht="24" customHeight="1">
      <c r="H910" s="35" t="s">
        <v>48</v>
      </c>
      <c r="J910" s="31" t="s">
        <v>1300</v>
      </c>
      <c r="AG910" s="47">
        <f t="shared" si="106"/>
        <v>0</v>
      </c>
    </row>
    <row r="911" spans="6:35" ht="24" customHeight="1">
      <c r="AG911" s="47">
        <f t="shared" si="106"/>
        <v>0</v>
      </c>
    </row>
    <row r="912" spans="6:35" ht="24" customHeight="1">
      <c r="H912" s="96" t="s">
        <v>1301</v>
      </c>
      <c r="J912" s="26" t="s">
        <v>438</v>
      </c>
      <c r="K912" s="54">
        <v>2014</v>
      </c>
      <c r="AG912" s="47">
        <f t="shared" si="106"/>
        <v>0</v>
      </c>
    </row>
    <row r="913" spans="6:35" ht="24" customHeight="1">
      <c r="F913" s="26" t="s">
        <v>27</v>
      </c>
      <c r="AG913" s="47">
        <f t="shared" si="106"/>
        <v>0</v>
      </c>
    </row>
    <row r="914" spans="6:35" ht="24" customHeight="1">
      <c r="H914" s="27" t="s">
        <v>1302</v>
      </c>
      <c r="K914" s="35" t="s">
        <v>41</v>
      </c>
      <c r="AG914" s="47">
        <f t="shared" si="106"/>
        <v>0</v>
      </c>
    </row>
    <row r="915" spans="6:35" ht="24" customHeight="1">
      <c r="H915" s="27" t="s">
        <v>1303</v>
      </c>
      <c r="AG915" s="47">
        <f t="shared" si="106"/>
        <v>0</v>
      </c>
    </row>
    <row r="916" spans="6:35" ht="24" customHeight="1">
      <c r="F916" s="132">
        <v>21.2</v>
      </c>
      <c r="H916" s="41" t="s">
        <v>1304</v>
      </c>
      <c r="AG916" s="47">
        <f t="shared" si="106"/>
        <v>0</v>
      </c>
    </row>
    <row r="917" spans="6:35" ht="24" customHeight="1">
      <c r="F917" s="132"/>
      <c r="H917" s="35" t="s">
        <v>48</v>
      </c>
      <c r="AG917" s="47" t="str">
        <f t="shared" si="106"/>
        <v>|</v>
      </c>
      <c r="AI917" s="26" t="s">
        <v>685</v>
      </c>
    </row>
    <row r="918" spans="6:35" ht="24" customHeight="1">
      <c r="G918" s="38" t="s">
        <v>644</v>
      </c>
      <c r="H918" s="26" t="s">
        <v>1305</v>
      </c>
      <c r="K918" s="26" t="s">
        <v>27</v>
      </c>
      <c r="AG918" s="47" t="str">
        <f t="shared" si="106"/>
        <v>|</v>
      </c>
      <c r="AI918" s="26" t="s">
        <v>685</v>
      </c>
    </row>
    <row r="919" spans="6:35" ht="24" customHeight="1">
      <c r="H919" s="35" t="s">
        <v>48</v>
      </c>
      <c r="K919" s="26" t="s">
        <v>27</v>
      </c>
      <c r="AG919" s="47" t="str">
        <f t="shared" si="106"/>
        <v>|</v>
      </c>
      <c r="AI919" s="26" t="s">
        <v>685</v>
      </c>
    </row>
    <row r="920" spans="6:35" ht="24" customHeight="1">
      <c r="F920" s="40">
        <v>1</v>
      </c>
      <c r="G920" s="38" t="s">
        <v>93</v>
      </c>
      <c r="H920" s="26" t="s">
        <v>1306</v>
      </c>
      <c r="I920" s="40">
        <f>C30</f>
        <v>14384.999999999998</v>
      </c>
      <c r="J920" s="26" t="s">
        <v>93</v>
      </c>
      <c r="K920" s="40">
        <f>(F920*I920)</f>
        <v>14384.999999999998</v>
      </c>
      <c r="AG920" s="47" t="str">
        <f t="shared" si="106"/>
        <v>|</v>
      </c>
      <c r="AI920" s="26" t="s">
        <v>685</v>
      </c>
    </row>
    <row r="921" spans="6:35" ht="24" customHeight="1">
      <c r="F921" s="40">
        <v>1</v>
      </c>
      <c r="G921" s="38" t="s">
        <v>93</v>
      </c>
      <c r="H921" s="26" t="s">
        <v>1305</v>
      </c>
      <c r="I921" s="40">
        <f>C88</f>
        <v>111600</v>
      </c>
      <c r="J921" s="26" t="s">
        <v>93</v>
      </c>
      <c r="K921" s="40">
        <f>(F921*I921)</f>
        <v>111600</v>
      </c>
      <c r="AG921" s="47" t="str">
        <f t="shared" si="106"/>
        <v>|</v>
      </c>
      <c r="AI921" s="26" t="s">
        <v>685</v>
      </c>
    </row>
    <row r="922" spans="6:35" ht="24" customHeight="1">
      <c r="K922" s="35" t="s">
        <v>41</v>
      </c>
      <c r="AG922" s="47">
        <f t="shared" si="106"/>
        <v>0</v>
      </c>
    </row>
    <row r="923" spans="6:35" ht="24" customHeight="1">
      <c r="H923" s="26" t="s">
        <v>1307</v>
      </c>
      <c r="K923" s="39">
        <f>SUM(K920:K921)</f>
        <v>125985</v>
      </c>
      <c r="AG923" s="47" t="str">
        <f t="shared" si="106"/>
        <v>|</v>
      </c>
      <c r="AI923" s="26" t="s">
        <v>685</v>
      </c>
    </row>
    <row r="924" spans="6:35" ht="24" customHeight="1">
      <c r="K924" s="35" t="s">
        <v>41</v>
      </c>
      <c r="AG924" s="47" t="str">
        <f t="shared" si="106"/>
        <v>|</v>
      </c>
      <c r="AI924" s="26" t="s">
        <v>685</v>
      </c>
    </row>
    <row r="925" spans="6:35" ht="24" customHeight="1">
      <c r="G925" s="38" t="s">
        <v>668</v>
      </c>
      <c r="H925" s="26" t="s">
        <v>1308</v>
      </c>
      <c r="K925" s="26" t="s">
        <v>27</v>
      </c>
      <c r="AG925" s="47" t="str">
        <f t="shared" si="106"/>
        <v>|</v>
      </c>
      <c r="AI925" s="26" t="s">
        <v>685</v>
      </c>
    </row>
    <row r="926" spans="6:35" ht="24" customHeight="1">
      <c r="H926" s="35" t="s">
        <v>48</v>
      </c>
      <c r="M926" s="27" t="s">
        <v>1309</v>
      </c>
      <c r="N926" s="38" t="s">
        <v>67</v>
      </c>
      <c r="O926" s="26" t="s">
        <v>1310</v>
      </c>
      <c r="Q926" s="31"/>
      <c r="AG926" s="47">
        <f t="shared" si="106"/>
        <v>0</v>
      </c>
      <c r="AI926" s="26"/>
    </row>
    <row r="927" spans="6:35" ht="24" customHeight="1">
      <c r="F927" s="40">
        <v>1</v>
      </c>
      <c r="G927" s="38" t="s">
        <v>93</v>
      </c>
      <c r="H927" s="26" t="s">
        <v>1306</v>
      </c>
      <c r="I927" s="40">
        <f>C30</f>
        <v>14384.999999999998</v>
      </c>
      <c r="J927" s="26" t="s">
        <v>93</v>
      </c>
      <c r="K927" s="40">
        <f>(F927*I927)</f>
        <v>14384.999999999998</v>
      </c>
      <c r="N927" s="29"/>
      <c r="O927" s="26" t="s">
        <v>1311</v>
      </c>
      <c r="Q927" s="31"/>
      <c r="AG927" s="47" t="str">
        <f t="shared" si="106"/>
        <v>|</v>
      </c>
      <c r="AI927" s="26" t="s">
        <v>685</v>
      </c>
    </row>
    <row r="928" spans="6:35" ht="24" customHeight="1">
      <c r="F928" s="40">
        <v>1</v>
      </c>
      <c r="G928" s="38" t="s">
        <v>93</v>
      </c>
      <c r="H928" s="26" t="s">
        <v>1305</v>
      </c>
      <c r="I928" s="40">
        <f>C89</f>
        <v>99400</v>
      </c>
      <c r="J928" s="26" t="s">
        <v>93</v>
      </c>
      <c r="K928" s="40">
        <f>(F928*I928)</f>
        <v>99400</v>
      </c>
      <c r="N928" s="29"/>
      <c r="O928" s="26" t="s">
        <v>1312</v>
      </c>
      <c r="Q928" s="31"/>
      <c r="AG928" s="47" t="str">
        <f t="shared" si="106"/>
        <v>|</v>
      </c>
      <c r="AI928" s="26" t="s">
        <v>685</v>
      </c>
    </row>
    <row r="929" spans="6:35" ht="24" customHeight="1">
      <c r="K929" s="35" t="s">
        <v>41</v>
      </c>
      <c r="N929" s="29"/>
      <c r="O929" s="35" t="s">
        <v>48</v>
      </c>
      <c r="Q929" s="31"/>
      <c r="AG929" s="47" t="str">
        <f t="shared" si="106"/>
        <v>|</v>
      </c>
      <c r="AI929" s="26" t="s">
        <v>685</v>
      </c>
    </row>
    <row r="930" spans="6:35" ht="24" customHeight="1">
      <c r="H930" s="26" t="s">
        <v>1313</v>
      </c>
      <c r="K930" s="39">
        <f>SUM(K927:K928)</f>
        <v>113785</v>
      </c>
      <c r="N930" s="29"/>
      <c r="O930" s="26" t="s">
        <v>1314</v>
      </c>
      <c r="Q930" s="31"/>
      <c r="AG930" s="47" t="str">
        <f t="shared" si="106"/>
        <v>|</v>
      </c>
      <c r="AI930" s="26" t="s">
        <v>685</v>
      </c>
    </row>
    <row r="931" spans="6:35" ht="24" customHeight="1">
      <c r="K931" s="35" t="s">
        <v>41</v>
      </c>
      <c r="N931" s="29"/>
      <c r="O931" s="26" t="s">
        <v>1315</v>
      </c>
      <c r="Q931" s="31"/>
      <c r="AG931" s="47" t="str">
        <f t="shared" si="106"/>
        <v>|</v>
      </c>
      <c r="AI931" s="26" t="s">
        <v>685</v>
      </c>
    </row>
    <row r="932" spans="6:35" ht="24" customHeight="1">
      <c r="N932" s="29"/>
      <c r="Q932" s="26" t="s">
        <v>48</v>
      </c>
      <c r="AG932" s="47" t="str">
        <f t="shared" si="106"/>
        <v>|</v>
      </c>
      <c r="AI932" s="26" t="s">
        <v>685</v>
      </c>
    </row>
    <row r="933" spans="6:35" ht="24" customHeight="1">
      <c r="F933" s="27" t="s">
        <v>1309</v>
      </c>
      <c r="G933" s="38" t="s">
        <v>67</v>
      </c>
      <c r="H933" s="26" t="s">
        <v>1316</v>
      </c>
      <c r="N933" s="29"/>
      <c r="O933" s="26" t="s">
        <v>1317</v>
      </c>
      <c r="Q933" s="31"/>
      <c r="AG933" s="47" t="str">
        <f t="shared" si="106"/>
        <v>|</v>
      </c>
      <c r="AI933" s="26" t="s">
        <v>685</v>
      </c>
    </row>
    <row r="934" spans="6:35" ht="24" customHeight="1">
      <c r="H934" s="26" t="s">
        <v>1311</v>
      </c>
      <c r="N934" s="29"/>
      <c r="O934" s="26" t="s">
        <v>1318</v>
      </c>
      <c r="Q934" s="31"/>
      <c r="R934" s="106">
        <v>2.4299999999999999E-2</v>
      </c>
      <c r="AG934" s="47" t="str">
        <f t="shared" si="106"/>
        <v>|</v>
      </c>
      <c r="AI934" s="26" t="s">
        <v>685</v>
      </c>
    </row>
    <row r="935" spans="6:35" ht="24" customHeight="1">
      <c r="H935" s="26" t="s">
        <v>1312</v>
      </c>
      <c r="N935" s="29"/>
      <c r="Q935" s="26" t="s">
        <v>27</v>
      </c>
      <c r="R935" s="35" t="s">
        <v>48</v>
      </c>
      <c r="AG935" s="47" t="str">
        <f t="shared" si="106"/>
        <v>|</v>
      </c>
      <c r="AI935" s="26" t="s">
        <v>685</v>
      </c>
    </row>
    <row r="936" spans="6:35" ht="24" customHeight="1">
      <c r="H936" s="35" t="s">
        <v>48</v>
      </c>
      <c r="N936" s="29"/>
      <c r="O936" s="26" t="s">
        <v>1319</v>
      </c>
      <c r="Q936" s="157" t="s">
        <v>27</v>
      </c>
      <c r="R936" s="106">
        <v>1.47E-2</v>
      </c>
      <c r="AG936" s="47" t="str">
        <f t="shared" si="106"/>
        <v>|</v>
      </c>
      <c r="AI936" s="26" t="s">
        <v>685</v>
      </c>
    </row>
    <row r="937" spans="6:35" ht="24" customHeight="1">
      <c r="H937" s="26" t="s">
        <v>1314</v>
      </c>
      <c r="N937" s="29"/>
      <c r="O937" s="26" t="s">
        <v>1320</v>
      </c>
      <c r="Q937" s="26" t="s">
        <v>27</v>
      </c>
      <c r="R937" s="106">
        <v>4.5999999999999999E-3</v>
      </c>
      <c r="AG937" s="47" t="str">
        <f t="shared" si="106"/>
        <v>|</v>
      </c>
      <c r="AI937" s="26" t="s">
        <v>685</v>
      </c>
    </row>
    <row r="938" spans="6:35" ht="24" customHeight="1">
      <c r="H938" s="26" t="s">
        <v>1315</v>
      </c>
      <c r="N938" s="29"/>
      <c r="Q938" s="31"/>
      <c r="R938" s="35" t="s">
        <v>48</v>
      </c>
      <c r="AG938" s="47" t="str">
        <f t="shared" si="106"/>
        <v>|</v>
      </c>
      <c r="AI938" s="26" t="s">
        <v>685</v>
      </c>
    </row>
    <row r="939" spans="6:35" ht="24" customHeight="1">
      <c r="J939" s="26" t="s">
        <v>48</v>
      </c>
      <c r="N939" s="29"/>
      <c r="Q939" s="31"/>
      <c r="R939" s="106">
        <v>1.9300000000000001E-2</v>
      </c>
      <c r="AG939" s="47" t="str">
        <f t="shared" si="106"/>
        <v>|</v>
      </c>
      <c r="AI939" s="26" t="s">
        <v>685</v>
      </c>
    </row>
    <row r="940" spans="6:35" ht="24" customHeight="1">
      <c r="H940" s="26" t="s">
        <v>1317</v>
      </c>
      <c r="N940" s="29"/>
      <c r="Q940" s="31"/>
      <c r="R940" s="35" t="s">
        <v>48</v>
      </c>
      <c r="AG940" s="47" t="str">
        <f t="shared" si="106"/>
        <v>|</v>
      </c>
      <c r="AI940" s="26" t="s">
        <v>685</v>
      </c>
    </row>
    <row r="941" spans="6:35" ht="24" customHeight="1">
      <c r="H941" s="26" t="s">
        <v>1318</v>
      </c>
      <c r="K941" s="106">
        <v>2.4299999999999999E-2</v>
      </c>
      <c r="N941" s="29"/>
      <c r="Q941" s="31"/>
      <c r="AG941" s="47" t="str">
        <f t="shared" si="106"/>
        <v>|</v>
      </c>
      <c r="AI941" s="26" t="s">
        <v>685</v>
      </c>
    </row>
    <row r="942" spans="6:35" ht="24" customHeight="1">
      <c r="J942" s="26" t="s">
        <v>27</v>
      </c>
      <c r="K942" s="35" t="s">
        <v>48</v>
      </c>
      <c r="N942" s="29"/>
      <c r="Q942" s="31"/>
      <c r="AG942" s="47" t="str">
        <f t="shared" si="106"/>
        <v>|</v>
      </c>
      <c r="AI942" s="26" t="s">
        <v>685</v>
      </c>
    </row>
    <row r="943" spans="6:35" ht="24" customHeight="1">
      <c r="H943" s="26" t="s">
        <v>1319</v>
      </c>
      <c r="J943" s="157" t="s">
        <v>27</v>
      </c>
      <c r="K943" s="106">
        <v>1.47E-2</v>
      </c>
      <c r="M943" s="106">
        <v>1.14E-2</v>
      </c>
      <c r="N943" s="38" t="s">
        <v>93</v>
      </c>
      <c r="O943" s="26" t="s">
        <v>1321</v>
      </c>
      <c r="P943" s="40">
        <f>C86</f>
        <v>34300</v>
      </c>
      <c r="Q943" s="26" t="s">
        <v>93</v>
      </c>
      <c r="R943" s="40">
        <f>(M943*P943)</f>
        <v>391.02000000000004</v>
      </c>
      <c r="AG943" s="47" t="str">
        <f t="shared" si="106"/>
        <v>|</v>
      </c>
      <c r="AI943" s="26" t="s">
        <v>685</v>
      </c>
    </row>
    <row r="944" spans="6:35" ht="24" customHeight="1">
      <c r="H944" s="26" t="s">
        <v>1320</v>
      </c>
      <c r="J944" s="26" t="s">
        <v>27</v>
      </c>
      <c r="K944" s="106">
        <v>4.5999999999999999E-3</v>
      </c>
      <c r="M944" s="106">
        <v>2.4299999999999999E-2</v>
      </c>
      <c r="N944" s="38" t="s">
        <v>93</v>
      </c>
      <c r="O944" s="26" t="s">
        <v>1322</v>
      </c>
      <c r="P944" s="40">
        <f>P943</f>
        <v>34300</v>
      </c>
      <c r="Q944" s="26" t="s">
        <v>93</v>
      </c>
      <c r="R944" s="40">
        <f>(M944*P944)</f>
        <v>833.49</v>
      </c>
      <c r="AG944" s="47" t="str">
        <f t="shared" si="106"/>
        <v>|</v>
      </c>
      <c r="AI944" s="26" t="s">
        <v>685</v>
      </c>
    </row>
    <row r="945" spans="6:35" ht="24" customHeight="1">
      <c r="K945" s="35" t="s">
        <v>48</v>
      </c>
      <c r="M945" s="106">
        <v>1.9300000000000001E-2</v>
      </c>
      <c r="N945" s="38" t="s">
        <v>93</v>
      </c>
      <c r="O945" s="26" t="s">
        <v>1323</v>
      </c>
      <c r="P945" s="40">
        <f>C87</f>
        <v>39400</v>
      </c>
      <c r="Q945" s="26" t="s">
        <v>93</v>
      </c>
      <c r="R945" s="40">
        <f>(M945*P945)</f>
        <v>760.42000000000007</v>
      </c>
      <c r="AG945" s="47" t="str">
        <f t="shared" si="106"/>
        <v>|</v>
      </c>
      <c r="AI945" s="26" t="s">
        <v>685</v>
      </c>
    </row>
    <row r="946" spans="6:35" ht="24" customHeight="1">
      <c r="K946" s="106">
        <v>1.9300000000000001E-2</v>
      </c>
      <c r="M946" s="107"/>
      <c r="N946" s="29"/>
      <c r="O946" s="26"/>
      <c r="P946" s="26" t="s">
        <v>27</v>
      </c>
      <c r="Q946" s="31"/>
      <c r="R946" s="26" t="s">
        <v>27</v>
      </c>
      <c r="AG946" s="47">
        <f t="shared" si="106"/>
        <v>0</v>
      </c>
    </row>
    <row r="947" spans="6:35" ht="24" customHeight="1">
      <c r="K947" s="35" t="s">
        <v>48</v>
      </c>
      <c r="M947" s="107">
        <v>1.823</v>
      </c>
      <c r="N947" s="38" t="s">
        <v>438</v>
      </c>
      <c r="O947" s="26" t="s">
        <v>1324</v>
      </c>
      <c r="P947" s="40">
        <f>I954</f>
        <v>1617</v>
      </c>
      <c r="Q947" s="26" t="s">
        <v>438</v>
      </c>
      <c r="R947" s="40">
        <f t="shared" ref="R947:R953" si="114">(M947*P947)</f>
        <v>2947.7909999999997</v>
      </c>
      <c r="AG947" s="47">
        <f t="shared" si="106"/>
        <v>0</v>
      </c>
    </row>
    <row r="948" spans="6:35" ht="24" customHeight="1">
      <c r="M948" s="40">
        <v>1</v>
      </c>
      <c r="N948" s="38" t="s">
        <v>196</v>
      </c>
      <c r="O948" s="26" t="s">
        <v>1325</v>
      </c>
      <c r="P948" s="40">
        <f t="shared" ref="P948:P953" si="115">I955</f>
        <v>50.9</v>
      </c>
      <c r="Q948" s="26" t="s">
        <v>105</v>
      </c>
      <c r="R948" s="40">
        <f t="shared" si="114"/>
        <v>50.9</v>
      </c>
      <c r="AG948" s="47">
        <f t="shared" si="106"/>
        <v>0</v>
      </c>
    </row>
    <row r="949" spans="6:35" ht="24" customHeight="1">
      <c r="M949" s="40">
        <v>3</v>
      </c>
      <c r="N949" s="38" t="s">
        <v>105</v>
      </c>
      <c r="O949" s="26" t="s">
        <v>1326</v>
      </c>
      <c r="P949" s="40">
        <f t="shared" si="115"/>
        <v>79.099999999999994</v>
      </c>
      <c r="Q949" s="26" t="s">
        <v>105</v>
      </c>
      <c r="R949" s="40">
        <f t="shared" si="114"/>
        <v>237.29999999999998</v>
      </c>
      <c r="AG949" s="47">
        <f t="shared" si="106"/>
        <v>0</v>
      </c>
    </row>
    <row r="950" spans="6:35" ht="24" customHeight="1">
      <c r="F950" s="106">
        <v>1.14E-2</v>
      </c>
      <c r="G950" s="38" t="s">
        <v>93</v>
      </c>
      <c r="H950" s="26" t="s">
        <v>1327</v>
      </c>
      <c r="I950" s="40">
        <f>C88</f>
        <v>111600</v>
      </c>
      <c r="J950" s="26" t="s">
        <v>93</v>
      </c>
      <c r="K950" s="40">
        <f>(F950*I950)</f>
        <v>1272.24</v>
      </c>
      <c r="M950" s="40">
        <v>2</v>
      </c>
      <c r="N950" s="38" t="s">
        <v>105</v>
      </c>
      <c r="O950" s="26" t="s">
        <v>1328</v>
      </c>
      <c r="P950" s="40">
        <f t="shared" si="115"/>
        <v>57.2</v>
      </c>
      <c r="Q950" s="26" t="s">
        <v>105</v>
      </c>
      <c r="R950" s="40">
        <f t="shared" si="114"/>
        <v>114.4</v>
      </c>
      <c r="AG950" s="47">
        <f t="shared" ref="AG950:AG1013" si="116">AI950</f>
        <v>0</v>
      </c>
    </row>
    <row r="951" spans="6:35" ht="24" customHeight="1">
      <c r="F951" s="106">
        <v>2.4299999999999999E-2</v>
      </c>
      <c r="G951" s="38" t="s">
        <v>93</v>
      </c>
      <c r="H951" s="26" t="s">
        <v>1329</v>
      </c>
      <c r="I951" s="40">
        <f>C89</f>
        <v>99400</v>
      </c>
      <c r="J951" s="26" t="s">
        <v>93</v>
      </c>
      <c r="K951" s="40">
        <f>(F951*I951)</f>
        <v>2415.42</v>
      </c>
      <c r="M951" s="40">
        <v>1</v>
      </c>
      <c r="N951" s="38" t="s">
        <v>105</v>
      </c>
      <c r="O951" s="26" t="s">
        <v>1330</v>
      </c>
      <c r="P951" s="40">
        <f t="shared" si="115"/>
        <v>159.69999999999999</v>
      </c>
      <c r="Q951" s="26" t="s">
        <v>105</v>
      </c>
      <c r="R951" s="40">
        <f t="shared" si="114"/>
        <v>159.69999999999999</v>
      </c>
      <c r="AG951" s="47">
        <f t="shared" si="116"/>
        <v>0</v>
      </c>
    </row>
    <row r="952" spans="6:35" ht="24" customHeight="1">
      <c r="F952" s="106">
        <v>1.9300000000000001E-2</v>
      </c>
      <c r="G952" s="38" t="s">
        <v>93</v>
      </c>
      <c r="H952" s="26" t="s">
        <v>1331</v>
      </c>
      <c r="I952" s="40">
        <f>C90</f>
        <v>95000</v>
      </c>
      <c r="J952" s="26" t="s">
        <v>93</v>
      </c>
      <c r="K952" s="40">
        <f>(F952*I952)</f>
        <v>1833.5</v>
      </c>
      <c r="M952" s="40">
        <v>1</v>
      </c>
      <c r="N952" s="38" t="s">
        <v>105</v>
      </c>
      <c r="O952" s="26" t="s">
        <v>1332</v>
      </c>
      <c r="P952" s="40">
        <f t="shared" si="115"/>
        <v>7.3</v>
      </c>
      <c r="Q952" s="26" t="s">
        <v>105</v>
      </c>
      <c r="R952" s="40">
        <f t="shared" si="114"/>
        <v>7.3</v>
      </c>
      <c r="AG952" s="47">
        <f t="shared" si="116"/>
        <v>0</v>
      </c>
    </row>
    <row r="953" spans="6:35" ht="24" customHeight="1">
      <c r="F953" s="107"/>
      <c r="H953" s="26" t="s">
        <v>1333</v>
      </c>
      <c r="I953" s="26" t="s">
        <v>27</v>
      </c>
      <c r="K953" s="26" t="s">
        <v>27</v>
      </c>
      <c r="M953" s="40">
        <v>1</v>
      </c>
      <c r="N953" s="38" t="s">
        <v>105</v>
      </c>
      <c r="O953" s="26" t="s">
        <v>463</v>
      </c>
      <c r="P953" s="40">
        <f t="shared" si="115"/>
        <v>43.8</v>
      </c>
      <c r="Q953" s="26" t="s">
        <v>105</v>
      </c>
      <c r="R953" s="40">
        <f t="shared" si="114"/>
        <v>43.8</v>
      </c>
      <c r="AG953" s="47">
        <f t="shared" si="116"/>
        <v>0</v>
      </c>
    </row>
    <row r="954" spans="6:35" ht="24" customHeight="1">
      <c r="F954" s="107">
        <v>1.823</v>
      </c>
      <c r="G954" s="38" t="s">
        <v>438</v>
      </c>
      <c r="H954" s="26" t="s">
        <v>1324</v>
      </c>
      <c r="I954" s="40">
        <f>C31</f>
        <v>1617</v>
      </c>
      <c r="J954" s="26" t="s">
        <v>438</v>
      </c>
      <c r="K954" s="40">
        <f t="shared" ref="K954:K961" si="117">(F954*I954)</f>
        <v>2947.7909999999997</v>
      </c>
      <c r="N954" s="29"/>
      <c r="Q954" s="31"/>
      <c r="R954" s="35" t="s">
        <v>48</v>
      </c>
      <c r="AG954" s="47">
        <f t="shared" si="116"/>
        <v>0</v>
      </c>
    </row>
    <row r="955" spans="6:35" ht="24" customHeight="1">
      <c r="F955" s="40">
        <v>1</v>
      </c>
      <c r="G955" s="38" t="s">
        <v>196</v>
      </c>
      <c r="H955" s="26" t="s">
        <v>1334</v>
      </c>
      <c r="I955" s="40">
        <f>C598</f>
        <v>50.9</v>
      </c>
      <c r="J955" s="26" t="s">
        <v>105</v>
      </c>
      <c r="K955" s="40">
        <f t="shared" si="117"/>
        <v>50.9</v>
      </c>
      <c r="N955" s="29"/>
      <c r="O955" s="26" t="s">
        <v>1335</v>
      </c>
      <c r="Q955" s="31"/>
      <c r="R955" s="40">
        <f>SUM(R943:R953)</f>
        <v>5546.1209999999992</v>
      </c>
      <c r="AG955" s="47">
        <f t="shared" si="116"/>
        <v>0</v>
      </c>
    </row>
    <row r="956" spans="6:35" ht="24" customHeight="1">
      <c r="F956" s="40">
        <v>3</v>
      </c>
      <c r="G956" s="38" t="s">
        <v>105</v>
      </c>
      <c r="H956" s="26" t="s">
        <v>1326</v>
      </c>
      <c r="I956" s="40">
        <f>C279</f>
        <v>79.099999999999994</v>
      </c>
      <c r="J956" s="26" t="s">
        <v>105</v>
      </c>
      <c r="K956" s="40">
        <f t="shared" si="117"/>
        <v>237.29999999999998</v>
      </c>
      <c r="N956" s="29"/>
      <c r="Q956" s="31"/>
      <c r="R956" s="35" t="s">
        <v>48</v>
      </c>
      <c r="AG956" s="47">
        <f t="shared" si="116"/>
        <v>0</v>
      </c>
    </row>
    <row r="957" spans="6:35" ht="24" customHeight="1">
      <c r="F957" s="40">
        <v>2</v>
      </c>
      <c r="G957" s="38" t="s">
        <v>105</v>
      </c>
      <c r="H957" s="26" t="s">
        <v>1328</v>
      </c>
      <c r="I957" s="40">
        <f>C284</f>
        <v>57.2</v>
      </c>
      <c r="J957" s="26" t="s">
        <v>105</v>
      </c>
      <c r="K957" s="40">
        <f t="shared" si="117"/>
        <v>114.4</v>
      </c>
      <c r="N957" s="29"/>
      <c r="O957" s="42" t="s">
        <v>403</v>
      </c>
      <c r="Q957" s="31"/>
      <c r="R957" s="39">
        <f>R955/M947</f>
        <v>3042.3044432254524</v>
      </c>
      <c r="AG957" s="47">
        <f t="shared" si="116"/>
        <v>0</v>
      </c>
    </row>
    <row r="958" spans="6:35" ht="24" customHeight="1">
      <c r="F958" s="40">
        <v>1</v>
      </c>
      <c r="G958" s="38" t="s">
        <v>105</v>
      </c>
      <c r="H958" s="26" t="s">
        <v>1330</v>
      </c>
      <c r="I958" s="40">
        <f>C286</f>
        <v>159.69999999999999</v>
      </c>
      <c r="J958" s="26" t="s">
        <v>105</v>
      </c>
      <c r="K958" s="40">
        <f t="shared" si="117"/>
        <v>159.69999999999999</v>
      </c>
      <c r="M958" s="26" t="s">
        <v>27</v>
      </c>
      <c r="N958" s="29"/>
      <c r="Q958" s="31"/>
      <c r="AG958" s="47">
        <f t="shared" si="116"/>
        <v>0</v>
      </c>
    </row>
    <row r="959" spans="6:35" ht="24" customHeight="1">
      <c r="F959" s="40">
        <v>1</v>
      </c>
      <c r="G959" s="38" t="s">
        <v>105</v>
      </c>
      <c r="H959" s="26" t="s">
        <v>1332</v>
      </c>
      <c r="I959" s="40">
        <f>C288</f>
        <v>7.3</v>
      </c>
      <c r="J959" s="26" t="s">
        <v>105</v>
      </c>
      <c r="K959" s="40">
        <f t="shared" si="117"/>
        <v>7.3</v>
      </c>
      <c r="N959" s="29"/>
      <c r="Q959" s="31"/>
      <c r="R959" s="35" t="s">
        <v>41</v>
      </c>
      <c r="AG959" s="47" t="str">
        <f t="shared" si="116"/>
        <v>|</v>
      </c>
      <c r="AI959" s="26" t="s">
        <v>685</v>
      </c>
    </row>
    <row r="960" spans="6:35" ht="24" customHeight="1">
      <c r="F960" s="40">
        <v>1</v>
      </c>
      <c r="G960" s="38" t="s">
        <v>105</v>
      </c>
      <c r="H960" s="26" t="s">
        <v>463</v>
      </c>
      <c r="I960" s="40">
        <f>D598</f>
        <v>43.8</v>
      </c>
      <c r="J960" s="26" t="s">
        <v>105</v>
      </c>
      <c r="K960" s="40">
        <f t="shared" si="117"/>
        <v>43.8</v>
      </c>
      <c r="AG960" s="47" t="str">
        <f t="shared" si="116"/>
        <v>|</v>
      </c>
      <c r="AI960" s="26" t="s">
        <v>685</v>
      </c>
    </row>
    <row r="961" spans="6:35" ht="24" customHeight="1">
      <c r="F961" s="40">
        <v>10</v>
      </c>
      <c r="G961" s="38" t="s">
        <v>1336</v>
      </c>
      <c r="H961" s="96" t="s">
        <v>1337</v>
      </c>
      <c r="I961" s="105">
        <v>2.37</v>
      </c>
      <c r="J961" s="31" t="s">
        <v>1338</v>
      </c>
      <c r="K961" s="40">
        <f t="shared" si="117"/>
        <v>23.700000000000003</v>
      </c>
      <c r="AG961" s="47" t="str">
        <f t="shared" si="116"/>
        <v>|</v>
      </c>
      <c r="AI961" s="26" t="s">
        <v>685</v>
      </c>
    </row>
    <row r="962" spans="6:35" ht="24" customHeight="1">
      <c r="H962" s="26" t="s">
        <v>1335</v>
      </c>
      <c r="K962" s="40">
        <f>SUM(K950:K961)</f>
        <v>9106.0509999999977</v>
      </c>
      <c r="AG962" s="47" t="str">
        <f t="shared" si="116"/>
        <v>|</v>
      </c>
      <c r="AI962" s="26" t="s">
        <v>685</v>
      </c>
    </row>
    <row r="963" spans="6:35" ht="24" customHeight="1">
      <c r="K963" s="35" t="s">
        <v>48</v>
      </c>
      <c r="AG963" s="47" t="str">
        <f t="shared" si="116"/>
        <v>|</v>
      </c>
      <c r="AI963" s="26" t="s">
        <v>685</v>
      </c>
    </row>
    <row r="964" spans="6:35" ht="24" customHeight="1">
      <c r="H964" s="42" t="s">
        <v>403</v>
      </c>
      <c r="K964" s="39">
        <f>K962/F954</f>
        <v>4995.0910586944583</v>
      </c>
      <c r="AG964" s="47" t="str">
        <f t="shared" si="116"/>
        <v>|</v>
      </c>
      <c r="AI964" s="26" t="s">
        <v>685</v>
      </c>
    </row>
    <row r="965" spans="6:35" ht="24" customHeight="1">
      <c r="F965" s="26" t="s">
        <v>27</v>
      </c>
      <c r="AG965" s="47" t="str">
        <f t="shared" si="116"/>
        <v>|</v>
      </c>
      <c r="AI965" s="26" t="s">
        <v>685</v>
      </c>
    </row>
    <row r="966" spans="6:35" ht="24" customHeight="1">
      <c r="K966" s="35" t="s">
        <v>41</v>
      </c>
      <c r="AG966" s="47" t="str">
        <f t="shared" si="116"/>
        <v>|</v>
      </c>
      <c r="AI966" s="26" t="s">
        <v>685</v>
      </c>
    </row>
    <row r="967" spans="6:35" ht="24" customHeight="1">
      <c r="AG967" s="47" t="str">
        <f t="shared" si="116"/>
        <v>|</v>
      </c>
      <c r="AI967" s="26" t="s">
        <v>685</v>
      </c>
    </row>
    <row r="968" spans="6:35" ht="24" customHeight="1">
      <c r="AG968" s="47" t="str">
        <f t="shared" si="116"/>
        <v>|</v>
      </c>
      <c r="AI968" s="26" t="s">
        <v>685</v>
      </c>
    </row>
    <row r="969" spans="6:35" ht="24" customHeight="1">
      <c r="F969" s="27" t="s">
        <v>1339</v>
      </c>
      <c r="G969" s="38" t="s">
        <v>67</v>
      </c>
      <c r="H969" s="26" t="s">
        <v>1316</v>
      </c>
      <c r="AG969" s="47" t="str">
        <f t="shared" si="116"/>
        <v>|</v>
      </c>
      <c r="AI969" s="26" t="s">
        <v>685</v>
      </c>
    </row>
    <row r="970" spans="6:35" ht="24" customHeight="1">
      <c r="H970" s="26" t="s">
        <v>1311</v>
      </c>
      <c r="AG970" s="47" t="str">
        <f t="shared" si="116"/>
        <v>|</v>
      </c>
      <c r="AI970" s="26" t="s">
        <v>685</v>
      </c>
    </row>
    <row r="971" spans="6:35" ht="24" customHeight="1">
      <c r="H971" s="26" t="s">
        <v>1340</v>
      </c>
      <c r="AG971" s="47" t="str">
        <f t="shared" si="116"/>
        <v>|</v>
      </c>
      <c r="AI971" s="26" t="s">
        <v>685</v>
      </c>
    </row>
    <row r="972" spans="6:35" ht="24" customHeight="1">
      <c r="H972" s="35" t="s">
        <v>48</v>
      </c>
      <c r="AG972" s="47" t="str">
        <f t="shared" si="116"/>
        <v>|</v>
      </c>
      <c r="AI972" s="26" t="s">
        <v>685</v>
      </c>
    </row>
    <row r="973" spans="6:35" ht="24" customHeight="1">
      <c r="AG973" s="47" t="str">
        <f t="shared" si="116"/>
        <v>|</v>
      </c>
      <c r="AI973" s="26" t="s">
        <v>685</v>
      </c>
    </row>
    <row r="974" spans="6:35" ht="24" customHeight="1">
      <c r="H974" s="26" t="s">
        <v>1341</v>
      </c>
      <c r="AG974" s="47">
        <f t="shared" si="116"/>
        <v>0</v>
      </c>
    </row>
    <row r="975" spans="6:35" ht="24" customHeight="1">
      <c r="H975" s="26" t="s">
        <v>1342</v>
      </c>
      <c r="AG975" s="47" t="str">
        <f t="shared" si="116"/>
        <v>|</v>
      </c>
      <c r="AI975" s="26" t="s">
        <v>685</v>
      </c>
    </row>
    <row r="976" spans="6:35" ht="24" customHeight="1">
      <c r="J976" s="26" t="s">
        <v>48</v>
      </c>
      <c r="AG976" s="47">
        <f t="shared" si="116"/>
        <v>0</v>
      </c>
    </row>
    <row r="977" spans="6:35" ht="24" customHeight="1">
      <c r="H977" s="26" t="s">
        <v>1343</v>
      </c>
      <c r="AG977" s="47">
        <f t="shared" si="116"/>
        <v>0</v>
      </c>
    </row>
    <row r="978" spans="6:35" ht="24" customHeight="1">
      <c r="H978" s="26" t="s">
        <v>1344</v>
      </c>
      <c r="K978" s="106">
        <v>2.1999999999999999E-2</v>
      </c>
      <c r="AG978" s="47" t="str">
        <f t="shared" si="116"/>
        <v>|</v>
      </c>
      <c r="AI978" s="26" t="s">
        <v>685</v>
      </c>
    </row>
    <row r="979" spans="6:35" ht="24" customHeight="1">
      <c r="J979" s="26" t="s">
        <v>27</v>
      </c>
      <c r="K979" s="35" t="s">
        <v>48</v>
      </c>
      <c r="AG979" s="47" t="str">
        <f t="shared" si="116"/>
        <v>|</v>
      </c>
      <c r="AI979" s="26" t="s">
        <v>685</v>
      </c>
    </row>
    <row r="980" spans="6:35" ht="24" customHeight="1">
      <c r="H980" s="26" t="s">
        <v>1345</v>
      </c>
      <c r="J980" s="157" t="s">
        <v>27</v>
      </c>
      <c r="K980" s="106">
        <v>1.3100000000000001E-2</v>
      </c>
      <c r="AG980" s="47" t="str">
        <f t="shared" si="116"/>
        <v>|</v>
      </c>
      <c r="AI980" s="26" t="s">
        <v>685</v>
      </c>
    </row>
    <row r="981" spans="6:35" ht="24" customHeight="1">
      <c r="H981" s="26" t="s">
        <v>1346</v>
      </c>
      <c r="J981" s="26" t="s">
        <v>27</v>
      </c>
      <c r="K981" s="106">
        <v>3.3999999999999998E-3</v>
      </c>
      <c r="AG981" s="47" t="str">
        <f t="shared" si="116"/>
        <v>|</v>
      </c>
      <c r="AI981" s="26" t="s">
        <v>685</v>
      </c>
    </row>
    <row r="982" spans="6:35" ht="24" customHeight="1">
      <c r="K982" s="35" t="s">
        <v>48</v>
      </c>
      <c r="AG982" s="47">
        <f t="shared" si="116"/>
        <v>0</v>
      </c>
    </row>
    <row r="983" spans="6:35" ht="24" customHeight="1">
      <c r="K983" s="106">
        <v>1.6500000000000001E-2</v>
      </c>
      <c r="AG983" s="47">
        <f t="shared" si="116"/>
        <v>0</v>
      </c>
    </row>
    <row r="984" spans="6:35" ht="24" customHeight="1">
      <c r="K984" s="35" t="s">
        <v>48</v>
      </c>
      <c r="O984" s="28" t="s">
        <v>1347</v>
      </c>
      <c r="AG984" s="47">
        <f t="shared" si="116"/>
        <v>0</v>
      </c>
    </row>
    <row r="985" spans="6:35" ht="24" customHeight="1">
      <c r="F985" s="106">
        <v>1.15E-2</v>
      </c>
      <c r="G985" s="38" t="s">
        <v>93</v>
      </c>
      <c r="H985" s="26" t="s">
        <v>1327</v>
      </c>
      <c r="I985" s="40">
        <f>C88</f>
        <v>111600</v>
      </c>
      <c r="J985" s="26" t="s">
        <v>93</v>
      </c>
      <c r="K985" s="40">
        <f>(F985*I985)</f>
        <v>1283.4000000000001</v>
      </c>
      <c r="M985" s="27" t="s">
        <v>1348</v>
      </c>
      <c r="N985" s="38"/>
      <c r="O985" s="26" t="s">
        <v>1349</v>
      </c>
      <c r="Q985" s="31"/>
      <c r="R985" s="26" t="s">
        <v>27</v>
      </c>
      <c r="AG985" s="47">
        <f t="shared" si="116"/>
        <v>0</v>
      </c>
    </row>
    <row r="986" spans="6:35" ht="24" customHeight="1">
      <c r="F986" s="106">
        <v>2.1999999999999999E-2</v>
      </c>
      <c r="G986" s="38" t="s">
        <v>93</v>
      </c>
      <c r="H986" s="26" t="s">
        <v>1329</v>
      </c>
      <c r="I986" s="40">
        <f>C89</f>
        <v>99400</v>
      </c>
      <c r="J986" s="26" t="s">
        <v>93</v>
      </c>
      <c r="K986" s="40">
        <f>(F986*I986)</f>
        <v>2186.7999999999997</v>
      </c>
      <c r="N986" s="29"/>
      <c r="O986" s="35" t="s">
        <v>48</v>
      </c>
      <c r="Q986" s="31"/>
      <c r="AG986" s="47">
        <f t="shared" si="116"/>
        <v>0</v>
      </c>
    </row>
    <row r="987" spans="6:35" ht="24" customHeight="1">
      <c r="F987" s="106">
        <v>1.6500000000000001E-2</v>
      </c>
      <c r="G987" s="38" t="s">
        <v>93</v>
      </c>
      <c r="H987" s="26" t="s">
        <v>1331</v>
      </c>
      <c r="I987" s="40">
        <f>C90</f>
        <v>95000</v>
      </c>
      <c r="J987" s="26" t="s">
        <v>93</v>
      </c>
      <c r="K987" s="40">
        <f>(F987*I987)</f>
        <v>1567.5</v>
      </c>
      <c r="M987" s="158">
        <v>1.153E-2</v>
      </c>
      <c r="N987" s="159" t="s">
        <v>93</v>
      </c>
      <c r="O987" s="160" t="s">
        <v>454</v>
      </c>
      <c r="P987" s="161">
        <f t="shared" ref="P987:P997" si="118">I1053</f>
        <v>111600</v>
      </c>
      <c r="Q987" s="160" t="s">
        <v>93</v>
      </c>
      <c r="R987" s="161">
        <f t="shared" ref="R987:R997" si="119">(M987*P987)</f>
        <v>1286.748</v>
      </c>
      <c r="AG987" s="47">
        <f t="shared" si="116"/>
        <v>0</v>
      </c>
    </row>
    <row r="988" spans="6:35" ht="24" customHeight="1">
      <c r="F988" s="106"/>
      <c r="H988" s="26" t="s">
        <v>1333</v>
      </c>
      <c r="I988" s="26" t="s">
        <v>27</v>
      </c>
      <c r="K988" s="26" t="s">
        <v>27</v>
      </c>
      <c r="M988" s="162">
        <v>1.013E-2</v>
      </c>
      <c r="N988" s="38" t="s">
        <v>93</v>
      </c>
      <c r="O988" s="26" t="s">
        <v>455</v>
      </c>
      <c r="P988" s="161">
        <f t="shared" si="118"/>
        <v>99400</v>
      </c>
      <c r="Q988" s="26" t="s">
        <v>93</v>
      </c>
      <c r="R988" s="40">
        <f t="shared" si="119"/>
        <v>1006.922</v>
      </c>
      <c r="AG988" s="47">
        <f t="shared" si="116"/>
        <v>0</v>
      </c>
    </row>
    <row r="989" spans="6:35" ht="24" customHeight="1">
      <c r="F989" s="106">
        <v>1.64</v>
      </c>
      <c r="G989" s="38" t="s">
        <v>438</v>
      </c>
      <c r="H989" s="26" t="s">
        <v>1324</v>
      </c>
      <c r="I989" s="40">
        <f>C31</f>
        <v>1617</v>
      </c>
      <c r="J989" s="26" t="s">
        <v>438</v>
      </c>
      <c r="K989" s="40">
        <f t="shared" ref="K989:K996" si="120">(F989*I989)</f>
        <v>2651.8799999999997</v>
      </c>
      <c r="M989" s="162">
        <v>0.77780000000000005</v>
      </c>
      <c r="N989" s="38" t="s">
        <v>438</v>
      </c>
      <c r="O989" s="26" t="s">
        <v>456</v>
      </c>
      <c r="P989" s="161">
        <f t="shared" si="118"/>
        <v>387.4</v>
      </c>
      <c r="Q989" s="26" t="s">
        <v>438</v>
      </c>
      <c r="R989" s="40">
        <f t="shared" si="119"/>
        <v>301.31972000000002</v>
      </c>
      <c r="AG989" s="47">
        <f t="shared" si="116"/>
        <v>0</v>
      </c>
    </row>
    <row r="990" spans="6:35" ht="24" customHeight="1">
      <c r="F990" s="40">
        <v>1</v>
      </c>
      <c r="G990" s="38" t="s">
        <v>196</v>
      </c>
      <c r="H990" s="26" t="s">
        <v>1334</v>
      </c>
      <c r="I990" s="40">
        <f>C598</f>
        <v>50.9</v>
      </c>
      <c r="J990" s="26" t="s">
        <v>105</v>
      </c>
      <c r="K990" s="40">
        <f t="shared" si="120"/>
        <v>50.9</v>
      </c>
      <c r="M990" s="162">
        <v>1.23</v>
      </c>
      <c r="N990" s="38" t="s">
        <v>438</v>
      </c>
      <c r="O990" s="26" t="s">
        <v>457</v>
      </c>
      <c r="P990" s="161">
        <f t="shared" si="118"/>
        <v>1348.1999999999998</v>
      </c>
      <c r="Q990" s="26" t="s">
        <v>438</v>
      </c>
      <c r="R990" s="40">
        <f t="shared" si="119"/>
        <v>1658.2859999999998</v>
      </c>
      <c r="AG990" s="47">
        <f t="shared" si="116"/>
        <v>0</v>
      </c>
    </row>
    <row r="991" spans="6:35" ht="24" customHeight="1">
      <c r="F991" s="40">
        <v>3</v>
      </c>
      <c r="G991" s="38" t="s">
        <v>105</v>
      </c>
      <c r="H991" s="26" t="s">
        <v>1326</v>
      </c>
      <c r="I991" s="40">
        <f>C279</f>
        <v>79.099999999999994</v>
      </c>
      <c r="J991" s="26" t="s">
        <v>105</v>
      </c>
      <c r="K991" s="40">
        <f t="shared" si="120"/>
        <v>237.29999999999998</v>
      </c>
      <c r="M991" s="40">
        <v>2</v>
      </c>
      <c r="N991" s="38" t="s">
        <v>105</v>
      </c>
      <c r="O991" s="26" t="s">
        <v>458</v>
      </c>
      <c r="P991" s="161">
        <f t="shared" si="118"/>
        <v>57.2</v>
      </c>
      <c r="Q991" s="26" t="s">
        <v>105</v>
      </c>
      <c r="R991" s="40">
        <f t="shared" si="119"/>
        <v>114.4</v>
      </c>
      <c r="AG991" s="47">
        <f t="shared" si="116"/>
        <v>0</v>
      </c>
    </row>
    <row r="992" spans="6:35" ht="24" customHeight="1">
      <c r="F992" s="40">
        <v>2</v>
      </c>
      <c r="G992" s="38" t="s">
        <v>105</v>
      </c>
      <c r="H992" s="26" t="s">
        <v>1328</v>
      </c>
      <c r="I992" s="40">
        <f>C284</f>
        <v>57.2</v>
      </c>
      <c r="J992" s="26" t="s">
        <v>105</v>
      </c>
      <c r="K992" s="40">
        <f t="shared" si="120"/>
        <v>114.4</v>
      </c>
      <c r="M992" s="40">
        <v>3</v>
      </c>
      <c r="N992" s="38" t="s">
        <v>105</v>
      </c>
      <c r="O992" s="26" t="s">
        <v>1350</v>
      </c>
      <c r="P992" s="161">
        <f t="shared" si="118"/>
        <v>79.099999999999994</v>
      </c>
      <c r="Q992" s="26" t="s">
        <v>105</v>
      </c>
      <c r="R992" s="40">
        <f t="shared" si="119"/>
        <v>237.29999999999998</v>
      </c>
      <c r="AG992" s="47">
        <f t="shared" si="116"/>
        <v>0</v>
      </c>
    </row>
    <row r="993" spans="6:35" ht="24" customHeight="1">
      <c r="F993" s="40">
        <v>1</v>
      </c>
      <c r="G993" s="38" t="s">
        <v>105</v>
      </c>
      <c r="H993" s="26" t="s">
        <v>1330</v>
      </c>
      <c r="I993" s="40">
        <f>C286</f>
        <v>159.69999999999999</v>
      </c>
      <c r="J993" s="26" t="s">
        <v>105</v>
      </c>
      <c r="K993" s="40">
        <f t="shared" si="120"/>
        <v>159.69999999999999</v>
      </c>
      <c r="M993" s="40">
        <v>1</v>
      </c>
      <c r="N993" s="38" t="s">
        <v>105</v>
      </c>
      <c r="O993" s="26" t="s">
        <v>460</v>
      </c>
      <c r="P993" s="161">
        <f t="shared" si="118"/>
        <v>159.69999999999999</v>
      </c>
      <c r="Q993" s="26" t="s">
        <v>105</v>
      </c>
      <c r="R993" s="40">
        <f t="shared" si="119"/>
        <v>159.69999999999999</v>
      </c>
      <c r="AG993" s="47">
        <f t="shared" si="116"/>
        <v>0</v>
      </c>
    </row>
    <row r="994" spans="6:35" ht="24" customHeight="1">
      <c r="F994" s="40">
        <v>1</v>
      </c>
      <c r="G994" s="38" t="s">
        <v>105</v>
      </c>
      <c r="H994" s="26" t="s">
        <v>1332</v>
      </c>
      <c r="I994" s="40">
        <f>C288</f>
        <v>7.3</v>
      </c>
      <c r="J994" s="26" t="s">
        <v>105</v>
      </c>
      <c r="K994" s="40">
        <f t="shared" si="120"/>
        <v>7.3</v>
      </c>
      <c r="M994" s="40">
        <v>1</v>
      </c>
      <c r="N994" s="38" t="s">
        <v>105</v>
      </c>
      <c r="O994" s="26" t="s">
        <v>461</v>
      </c>
      <c r="P994" s="161">
        <f t="shared" si="118"/>
        <v>7.3</v>
      </c>
      <c r="Q994" s="26" t="s">
        <v>105</v>
      </c>
      <c r="R994" s="40">
        <f t="shared" si="119"/>
        <v>7.3</v>
      </c>
      <c r="AG994" s="47" t="str">
        <f t="shared" si="116"/>
        <v>|</v>
      </c>
      <c r="AI994" s="26" t="s">
        <v>685</v>
      </c>
    </row>
    <row r="995" spans="6:35" ht="24" customHeight="1">
      <c r="F995" s="40">
        <v>1</v>
      </c>
      <c r="G995" s="38" t="s">
        <v>105</v>
      </c>
      <c r="H995" s="26" t="s">
        <v>463</v>
      </c>
      <c r="I995" s="40">
        <f>D598</f>
        <v>43.8</v>
      </c>
      <c r="J995" s="26" t="s">
        <v>105</v>
      </c>
      <c r="K995" s="40">
        <f t="shared" si="120"/>
        <v>43.8</v>
      </c>
      <c r="M995" s="40">
        <v>1</v>
      </c>
      <c r="N995" s="38" t="s">
        <v>105</v>
      </c>
      <c r="O995" s="26" t="s">
        <v>1351</v>
      </c>
      <c r="P995" s="161">
        <f t="shared" si="118"/>
        <v>50.9</v>
      </c>
      <c r="Q995" s="26" t="s">
        <v>105</v>
      </c>
      <c r="R995" s="40">
        <f t="shared" si="119"/>
        <v>50.9</v>
      </c>
      <c r="AG995" s="47" t="str">
        <f t="shared" si="116"/>
        <v>|</v>
      </c>
      <c r="AI995" s="26" t="s">
        <v>685</v>
      </c>
    </row>
    <row r="996" spans="6:35" ht="24" customHeight="1">
      <c r="F996" s="40">
        <v>10</v>
      </c>
      <c r="G996" s="38" t="s">
        <v>1336</v>
      </c>
      <c r="H996" s="26" t="s">
        <v>1352</v>
      </c>
      <c r="I996" s="40">
        <f>I961</f>
        <v>2.37</v>
      </c>
      <c r="J996" s="26" t="s">
        <v>105</v>
      </c>
      <c r="K996" s="40">
        <f t="shared" si="120"/>
        <v>23.700000000000003</v>
      </c>
      <c r="M996" s="40">
        <v>1</v>
      </c>
      <c r="N996" s="38" t="s">
        <v>105</v>
      </c>
      <c r="O996" s="26" t="s">
        <v>463</v>
      </c>
      <c r="P996" s="161">
        <f t="shared" si="118"/>
        <v>43.8</v>
      </c>
      <c r="Q996" s="26" t="s">
        <v>105</v>
      </c>
      <c r="R996" s="40">
        <f t="shared" si="119"/>
        <v>43.8</v>
      </c>
      <c r="AG996" s="47" t="str">
        <f t="shared" si="116"/>
        <v>|</v>
      </c>
      <c r="AI996" s="26" t="s">
        <v>685</v>
      </c>
    </row>
    <row r="997" spans="6:35" ht="24" customHeight="1">
      <c r="K997" s="35" t="s">
        <v>48</v>
      </c>
      <c r="M997" s="40">
        <v>58</v>
      </c>
      <c r="N997" s="29"/>
      <c r="O997" s="26" t="s">
        <v>1353</v>
      </c>
      <c r="P997" s="161">
        <f t="shared" si="118"/>
        <v>2.37</v>
      </c>
      <c r="Q997" s="31"/>
      <c r="R997" s="40">
        <f t="shared" si="119"/>
        <v>137.46</v>
      </c>
      <c r="AG997" s="47" t="str">
        <f t="shared" si="116"/>
        <v>|</v>
      </c>
      <c r="AI997" s="26" t="s">
        <v>685</v>
      </c>
    </row>
    <row r="998" spans="6:35" ht="24" customHeight="1">
      <c r="H998" s="26" t="s">
        <v>1354</v>
      </c>
      <c r="K998" s="40">
        <f>SUM(K985:K996)</f>
        <v>8326.6799999999985</v>
      </c>
      <c r="N998" s="29"/>
      <c r="O998" s="27" t="s">
        <v>464</v>
      </c>
      <c r="Q998" s="31"/>
      <c r="R998" s="40">
        <f>SUM(R987:R997)</f>
        <v>5004.1357199999993</v>
      </c>
      <c r="AG998" s="47" t="str">
        <f t="shared" si="116"/>
        <v>|</v>
      </c>
      <c r="AI998" s="26" t="s">
        <v>685</v>
      </c>
    </row>
    <row r="999" spans="6:35" ht="24" customHeight="1">
      <c r="K999" s="35" t="s">
        <v>48</v>
      </c>
      <c r="N999" s="38" t="s">
        <v>27</v>
      </c>
      <c r="Q999" s="31"/>
      <c r="R999" s="35" t="s">
        <v>48</v>
      </c>
      <c r="AG999" s="47" t="str">
        <f t="shared" si="116"/>
        <v>|</v>
      </c>
      <c r="AI999" s="26" t="s">
        <v>685</v>
      </c>
    </row>
    <row r="1000" spans="6:35" ht="24" customHeight="1">
      <c r="H1000" s="42" t="s">
        <v>403</v>
      </c>
      <c r="K1000" s="39">
        <f>K998/F989</f>
        <v>5077.2439024390242</v>
      </c>
      <c r="N1000" s="29"/>
      <c r="O1000" s="42" t="s">
        <v>403</v>
      </c>
      <c r="Q1000" s="31"/>
      <c r="R1000" s="39">
        <f>R998/M990</f>
        <v>4068.4030243902434</v>
      </c>
      <c r="AG1000" s="47" t="str">
        <f t="shared" si="116"/>
        <v>|</v>
      </c>
      <c r="AI1000" s="26" t="s">
        <v>685</v>
      </c>
    </row>
    <row r="1001" spans="6:35" ht="24" customHeight="1">
      <c r="K1001" s="35" t="s">
        <v>41</v>
      </c>
      <c r="N1001" s="29"/>
      <c r="Q1001" s="31"/>
      <c r="R1001" s="35" t="s">
        <v>41</v>
      </c>
      <c r="AG1001" s="47" t="str">
        <f t="shared" si="116"/>
        <v>|::</v>
      </c>
      <c r="AI1001" s="26" t="s">
        <v>469</v>
      </c>
    </row>
    <row r="1002" spans="6:35" ht="24" customHeight="1">
      <c r="F1002" s="27" t="s">
        <v>1355</v>
      </c>
      <c r="G1002" s="38" t="s">
        <v>67</v>
      </c>
      <c r="H1002" s="26" t="s">
        <v>1316</v>
      </c>
      <c r="AG1002" s="47">
        <f t="shared" si="116"/>
        <v>0</v>
      </c>
    </row>
    <row r="1003" spans="6:35" ht="24" customHeight="1">
      <c r="H1003" s="26" t="s">
        <v>1311</v>
      </c>
      <c r="AG1003" s="47">
        <f t="shared" si="116"/>
        <v>0</v>
      </c>
    </row>
    <row r="1004" spans="6:35" ht="24" customHeight="1">
      <c r="H1004" s="26" t="s">
        <v>1356</v>
      </c>
      <c r="AG1004" s="47" t="str">
        <f t="shared" si="116"/>
        <v>|</v>
      </c>
      <c r="AI1004" s="26" t="s">
        <v>685</v>
      </c>
    </row>
    <row r="1005" spans="6:35" ht="24" customHeight="1">
      <c r="H1005" s="35" t="s">
        <v>48</v>
      </c>
      <c r="AG1005" s="47"/>
      <c r="AI1005" s="26"/>
    </row>
    <row r="1006" spans="6:35" ht="24" customHeight="1">
      <c r="H1006" s="26" t="s">
        <v>1357</v>
      </c>
      <c r="AG1006" s="47" t="str">
        <f t="shared" si="116"/>
        <v>|</v>
      </c>
      <c r="AI1006" s="26" t="s">
        <v>685</v>
      </c>
    </row>
    <row r="1007" spans="6:35" ht="24" customHeight="1">
      <c r="H1007" s="26" t="s">
        <v>1315</v>
      </c>
      <c r="AG1007" s="47" t="str">
        <f t="shared" si="116"/>
        <v>|</v>
      </c>
      <c r="AI1007" s="26" t="s">
        <v>685</v>
      </c>
    </row>
    <row r="1008" spans="6:35" ht="24" customHeight="1">
      <c r="J1008" s="26" t="s">
        <v>48</v>
      </c>
      <c r="AG1008" s="47" t="str">
        <f t="shared" si="116"/>
        <v>|</v>
      </c>
      <c r="AI1008" s="26" t="s">
        <v>685</v>
      </c>
    </row>
    <row r="1009" spans="6:35" ht="24" customHeight="1">
      <c r="H1009" s="26" t="s">
        <v>1358</v>
      </c>
      <c r="AG1009" s="47" t="str">
        <f t="shared" si="116"/>
        <v>|</v>
      </c>
      <c r="AI1009" s="26" t="s">
        <v>685</v>
      </c>
    </row>
    <row r="1010" spans="6:35" ht="24" customHeight="1">
      <c r="H1010" s="26" t="s">
        <v>1359</v>
      </c>
      <c r="K1010" s="106">
        <v>1.1900000000000001E-2</v>
      </c>
      <c r="AG1010" s="47" t="str">
        <f t="shared" si="116"/>
        <v>|</v>
      </c>
      <c r="AI1010" s="26" t="s">
        <v>685</v>
      </c>
    </row>
    <row r="1011" spans="6:35" ht="24" customHeight="1">
      <c r="J1011" s="26" t="s">
        <v>27</v>
      </c>
      <c r="K1011" s="35" t="s">
        <v>48</v>
      </c>
      <c r="AG1011" s="47">
        <f t="shared" si="116"/>
        <v>0</v>
      </c>
    </row>
    <row r="1012" spans="6:35" ht="24" customHeight="1">
      <c r="H1012" s="26" t="s">
        <v>1360</v>
      </c>
      <c r="J1012" s="157" t="s">
        <v>27</v>
      </c>
      <c r="K1012" s="106">
        <v>1.18E-2</v>
      </c>
      <c r="AG1012" s="47">
        <f t="shared" si="116"/>
        <v>0</v>
      </c>
    </row>
    <row r="1013" spans="6:35" ht="24" customHeight="1">
      <c r="H1013" s="26" t="s">
        <v>49</v>
      </c>
      <c r="J1013" s="26" t="s">
        <v>27</v>
      </c>
      <c r="K1013" s="163" t="s">
        <v>48</v>
      </c>
      <c r="AG1013" s="47">
        <f t="shared" si="116"/>
        <v>0</v>
      </c>
    </row>
    <row r="1014" spans="6:35" ht="24" customHeight="1">
      <c r="AG1014" s="47">
        <f t="shared" ref="AG1014:AG1034" si="121">AI1014</f>
        <v>0</v>
      </c>
    </row>
    <row r="1015" spans="6:35" ht="24" customHeight="1">
      <c r="F1015" s="106">
        <v>1.14E-2</v>
      </c>
      <c r="G1015" s="38" t="s">
        <v>93</v>
      </c>
      <c r="H1015" s="26" t="s">
        <v>1327</v>
      </c>
      <c r="I1015" s="40">
        <f>C88</f>
        <v>111600</v>
      </c>
      <c r="J1015" s="26" t="s">
        <v>93</v>
      </c>
      <c r="K1015" s="40">
        <f>(F1015*I1015)</f>
        <v>1272.24</v>
      </c>
      <c r="AG1015" s="47">
        <f t="shared" si="121"/>
        <v>0</v>
      </c>
    </row>
    <row r="1016" spans="6:35" ht="24" customHeight="1">
      <c r="F1016" s="106">
        <v>1.1900000000000001E-2</v>
      </c>
      <c r="G1016" s="38" t="s">
        <v>93</v>
      </c>
      <c r="H1016" s="26" t="s">
        <v>1329</v>
      </c>
      <c r="I1016" s="40">
        <f>C89</f>
        <v>99400</v>
      </c>
      <c r="J1016" s="26" t="s">
        <v>93</v>
      </c>
      <c r="K1016" s="40">
        <f>(F1016*I1016)</f>
        <v>1182.8600000000001</v>
      </c>
      <c r="AG1016" s="47">
        <f t="shared" si="121"/>
        <v>0</v>
      </c>
    </row>
    <row r="1017" spans="6:35" ht="24" customHeight="1">
      <c r="F1017" s="106">
        <v>1.18E-2</v>
      </c>
      <c r="G1017" s="38" t="s">
        <v>93</v>
      </c>
      <c r="H1017" s="26" t="s">
        <v>1331</v>
      </c>
      <c r="I1017" s="40">
        <f>C90</f>
        <v>95000</v>
      </c>
      <c r="J1017" s="26" t="s">
        <v>93</v>
      </c>
      <c r="K1017" s="40">
        <f>(F1017*I1017)</f>
        <v>1121</v>
      </c>
      <c r="AG1017" s="47">
        <f t="shared" si="121"/>
        <v>0</v>
      </c>
    </row>
    <row r="1018" spans="6:35" ht="24" customHeight="1">
      <c r="F1018" s="106"/>
      <c r="H1018" s="26" t="s">
        <v>1333</v>
      </c>
      <c r="I1018" s="26" t="s">
        <v>27</v>
      </c>
      <c r="K1018" s="26" t="s">
        <v>27</v>
      </c>
      <c r="AG1018" s="47">
        <f t="shared" si="121"/>
        <v>0</v>
      </c>
    </row>
    <row r="1019" spans="6:35" ht="24" customHeight="1">
      <c r="F1019" s="106">
        <v>1.2150000000000001</v>
      </c>
      <c r="G1019" s="38" t="s">
        <v>438</v>
      </c>
      <c r="H1019" s="26" t="s">
        <v>1324</v>
      </c>
      <c r="I1019" s="40">
        <f>C31</f>
        <v>1617</v>
      </c>
      <c r="J1019" s="26" t="s">
        <v>438</v>
      </c>
      <c r="K1019" s="40">
        <f t="shared" ref="K1019:K1026" si="122">(F1019*I1019)</f>
        <v>1964.6550000000002</v>
      </c>
      <c r="AG1019" s="47">
        <f t="shared" si="121"/>
        <v>0</v>
      </c>
    </row>
    <row r="1020" spans="6:35" ht="24" customHeight="1">
      <c r="F1020" s="40">
        <v>1</v>
      </c>
      <c r="G1020" s="38" t="s">
        <v>196</v>
      </c>
      <c r="H1020" s="26" t="s">
        <v>1334</v>
      </c>
      <c r="I1020" s="40">
        <f>C598</f>
        <v>50.9</v>
      </c>
      <c r="J1020" s="26" t="s">
        <v>105</v>
      </c>
      <c r="K1020" s="40">
        <f t="shared" si="122"/>
        <v>50.9</v>
      </c>
      <c r="AG1020" s="47">
        <f t="shared" si="121"/>
        <v>0</v>
      </c>
    </row>
    <row r="1021" spans="6:35" ht="24" customHeight="1">
      <c r="F1021" s="40">
        <v>3</v>
      </c>
      <c r="G1021" s="38" t="s">
        <v>105</v>
      </c>
      <c r="H1021" s="26" t="s">
        <v>1326</v>
      </c>
      <c r="I1021" s="40">
        <f>C279</f>
        <v>79.099999999999994</v>
      </c>
      <c r="J1021" s="26" t="s">
        <v>105</v>
      </c>
      <c r="K1021" s="40">
        <f t="shared" si="122"/>
        <v>237.29999999999998</v>
      </c>
      <c r="AG1021" s="47">
        <f t="shared" si="121"/>
        <v>0</v>
      </c>
    </row>
    <row r="1022" spans="6:35" ht="24" customHeight="1">
      <c r="F1022" s="40">
        <v>2</v>
      </c>
      <c r="G1022" s="38" t="s">
        <v>105</v>
      </c>
      <c r="H1022" s="26" t="s">
        <v>1328</v>
      </c>
      <c r="I1022" s="40">
        <f>C284</f>
        <v>57.2</v>
      </c>
      <c r="J1022" s="26" t="s">
        <v>105</v>
      </c>
      <c r="K1022" s="40">
        <f t="shared" si="122"/>
        <v>114.4</v>
      </c>
      <c r="AG1022" s="47">
        <f t="shared" si="121"/>
        <v>0</v>
      </c>
    </row>
    <row r="1023" spans="6:35" ht="24" customHeight="1">
      <c r="F1023" s="40">
        <v>1</v>
      </c>
      <c r="G1023" s="38" t="s">
        <v>105</v>
      </c>
      <c r="H1023" s="26" t="s">
        <v>1330</v>
      </c>
      <c r="I1023" s="40">
        <f>C286</f>
        <v>159.69999999999999</v>
      </c>
      <c r="J1023" s="26" t="s">
        <v>105</v>
      </c>
      <c r="K1023" s="40">
        <f t="shared" si="122"/>
        <v>159.69999999999999</v>
      </c>
      <c r="AG1023" s="47">
        <f t="shared" si="121"/>
        <v>0</v>
      </c>
    </row>
    <row r="1024" spans="6:35" ht="24" customHeight="1">
      <c r="F1024" s="40">
        <v>1</v>
      </c>
      <c r="G1024" s="38" t="s">
        <v>105</v>
      </c>
      <c r="H1024" s="26" t="s">
        <v>1332</v>
      </c>
      <c r="I1024" s="40">
        <f>C288</f>
        <v>7.3</v>
      </c>
      <c r="J1024" s="26" t="s">
        <v>105</v>
      </c>
      <c r="K1024" s="40">
        <f t="shared" si="122"/>
        <v>7.3</v>
      </c>
      <c r="AG1024" s="47">
        <f t="shared" si="121"/>
        <v>0</v>
      </c>
    </row>
    <row r="1025" spans="6:33" ht="24" customHeight="1">
      <c r="F1025" s="40">
        <v>1</v>
      </c>
      <c r="G1025" s="38" t="s">
        <v>105</v>
      </c>
      <c r="H1025" s="26" t="s">
        <v>463</v>
      </c>
      <c r="I1025" s="40">
        <f>D598</f>
        <v>43.8</v>
      </c>
      <c r="J1025" s="26" t="s">
        <v>105</v>
      </c>
      <c r="K1025" s="40">
        <f t="shared" si="122"/>
        <v>43.8</v>
      </c>
      <c r="AG1025" s="47">
        <f t="shared" si="121"/>
        <v>0</v>
      </c>
    </row>
    <row r="1026" spans="6:33" ht="24" customHeight="1">
      <c r="F1026" s="40">
        <v>10</v>
      </c>
      <c r="G1026" s="38" t="s">
        <v>1336</v>
      </c>
      <c r="H1026" s="26" t="s">
        <v>1352</v>
      </c>
      <c r="I1026" s="40">
        <f>I996</f>
        <v>2.37</v>
      </c>
      <c r="J1026" s="26" t="s">
        <v>105</v>
      </c>
      <c r="K1026" s="40">
        <f t="shared" si="122"/>
        <v>23.700000000000003</v>
      </c>
      <c r="M1026" s="27" t="s">
        <v>1361</v>
      </c>
      <c r="N1026" s="38" t="s">
        <v>67</v>
      </c>
      <c r="O1026" s="26" t="s">
        <v>1362</v>
      </c>
      <c r="Q1026" s="31"/>
      <c r="AG1026" s="47">
        <f t="shared" si="121"/>
        <v>0</v>
      </c>
    </row>
    <row r="1027" spans="6:33" ht="24" customHeight="1">
      <c r="K1027" s="35" t="s">
        <v>48</v>
      </c>
      <c r="N1027" s="29"/>
      <c r="O1027" s="26" t="s">
        <v>1363</v>
      </c>
      <c r="Q1027" s="31"/>
      <c r="AG1027" s="47">
        <f t="shared" si="121"/>
        <v>0</v>
      </c>
    </row>
    <row r="1028" spans="6:33" ht="24" customHeight="1">
      <c r="H1028" s="26" t="s">
        <v>1364</v>
      </c>
      <c r="K1028" s="40">
        <f>SUM(K1015:K1026)</f>
        <v>6177.8550000000005</v>
      </c>
      <c r="N1028" s="29"/>
      <c r="O1028" s="26" t="s">
        <v>1365</v>
      </c>
      <c r="Q1028" s="31"/>
      <c r="AG1028" s="47">
        <f t="shared" si="121"/>
        <v>0</v>
      </c>
    </row>
    <row r="1029" spans="6:33" ht="24" customHeight="1">
      <c r="K1029" s="35" t="s">
        <v>48</v>
      </c>
      <c r="N1029" s="29"/>
      <c r="O1029" s="26" t="s">
        <v>1366</v>
      </c>
      <c r="Q1029" s="31"/>
      <c r="AG1029" s="47">
        <f t="shared" si="121"/>
        <v>0</v>
      </c>
    </row>
    <row r="1030" spans="6:33" ht="24" customHeight="1">
      <c r="H1030" s="42" t="s">
        <v>403</v>
      </c>
      <c r="K1030" s="39">
        <f>K1028/F1019</f>
        <v>5084.6543209876545</v>
      </c>
      <c r="N1030" s="29"/>
      <c r="O1030" s="26" t="s">
        <v>1367</v>
      </c>
      <c r="Q1030" s="31"/>
      <c r="AG1030" s="47">
        <f t="shared" si="121"/>
        <v>0</v>
      </c>
    </row>
    <row r="1031" spans="6:33" ht="24" customHeight="1">
      <c r="K1031" s="35" t="s">
        <v>41</v>
      </c>
      <c r="N1031" s="29"/>
      <c r="O1031" s="26" t="s">
        <v>1368</v>
      </c>
      <c r="Q1031" s="31"/>
      <c r="AG1031" s="47">
        <f t="shared" si="121"/>
        <v>0</v>
      </c>
    </row>
    <row r="1032" spans="6:33" ht="24" customHeight="1">
      <c r="H1032" s="164" t="s">
        <v>1369</v>
      </c>
      <c r="I1032" s="165"/>
      <c r="J1032" s="166"/>
      <c r="K1032" s="164">
        <v>2211</v>
      </c>
      <c r="N1032" s="29"/>
      <c r="O1032" s="35" t="s">
        <v>48</v>
      </c>
      <c r="Q1032" s="31"/>
      <c r="AG1032" s="47">
        <f t="shared" si="121"/>
        <v>0</v>
      </c>
    </row>
    <row r="1033" spans="6:33" ht="24" customHeight="1">
      <c r="F1033" s="27" t="s">
        <v>1361</v>
      </c>
      <c r="G1033" s="38" t="s">
        <v>67</v>
      </c>
      <c r="H1033" s="26" t="s">
        <v>1362</v>
      </c>
      <c r="N1033" s="29"/>
      <c r="O1033" s="26" t="s">
        <v>1341</v>
      </c>
      <c r="Q1033" s="31"/>
      <c r="AG1033" s="47">
        <f t="shared" si="121"/>
        <v>0</v>
      </c>
    </row>
    <row r="1034" spans="6:33" ht="24" customHeight="1">
      <c r="H1034" s="26" t="s">
        <v>1363</v>
      </c>
      <c r="N1034" s="29"/>
      <c r="O1034" s="26" t="s">
        <v>1370</v>
      </c>
      <c r="Q1034" s="31"/>
      <c r="AG1034" s="47">
        <f t="shared" si="121"/>
        <v>0</v>
      </c>
    </row>
    <row r="1035" spans="6:33" ht="24" customHeight="1">
      <c r="H1035" s="26" t="s">
        <v>1365</v>
      </c>
      <c r="N1035" s="29"/>
      <c r="Q1035" s="26" t="s">
        <v>48</v>
      </c>
      <c r="AG1035" s="47"/>
    </row>
    <row r="1036" spans="6:33" ht="24" customHeight="1">
      <c r="H1036" s="26" t="s">
        <v>1366</v>
      </c>
      <c r="N1036" s="29"/>
      <c r="O1036" s="26" t="s">
        <v>1371</v>
      </c>
      <c r="Q1036" s="31"/>
      <c r="AG1036" s="47">
        <f t="shared" ref="AG1036:AG1041" si="123">AI1036</f>
        <v>0</v>
      </c>
    </row>
    <row r="1037" spans="6:33" ht="24" customHeight="1">
      <c r="H1037" s="26" t="s">
        <v>1367</v>
      </c>
      <c r="N1037" s="29"/>
      <c r="O1037" s="26" t="s">
        <v>27</v>
      </c>
      <c r="P1037" s="26" t="s">
        <v>27</v>
      </c>
      <c r="Q1037" s="31"/>
      <c r="R1037" s="157" t="s">
        <v>27</v>
      </c>
      <c r="AG1037" s="47">
        <f t="shared" si="123"/>
        <v>0</v>
      </c>
    </row>
    <row r="1038" spans="6:33" ht="24" customHeight="1">
      <c r="H1038" s="26" t="s">
        <v>1368</v>
      </c>
      <c r="N1038" s="29"/>
      <c r="Q1038" s="26" t="s">
        <v>27</v>
      </c>
      <c r="R1038" s="26" t="s">
        <v>27</v>
      </c>
      <c r="AG1038" s="47">
        <f t="shared" si="123"/>
        <v>0</v>
      </c>
    </row>
    <row r="1039" spans="6:33" ht="24" customHeight="1">
      <c r="H1039" s="35" t="s">
        <v>48</v>
      </c>
      <c r="N1039" s="29"/>
      <c r="O1039" s="26" t="s">
        <v>1372</v>
      </c>
      <c r="Q1039" s="157" t="s">
        <v>27</v>
      </c>
      <c r="R1039" s="157" t="s">
        <v>27</v>
      </c>
      <c r="AG1039" s="47">
        <f t="shared" si="123"/>
        <v>0</v>
      </c>
    </row>
    <row r="1040" spans="6:33" ht="24" customHeight="1">
      <c r="H1040" s="26" t="s">
        <v>1341</v>
      </c>
      <c r="N1040" s="29"/>
      <c r="O1040" s="26" t="s">
        <v>1373</v>
      </c>
      <c r="Q1040" s="31"/>
      <c r="R1040" s="157" t="s">
        <v>1374</v>
      </c>
      <c r="AG1040" s="47">
        <f t="shared" si="123"/>
        <v>0</v>
      </c>
    </row>
    <row r="1041" spans="6:35" ht="24" customHeight="1">
      <c r="H1041" s="26" t="s">
        <v>1370</v>
      </c>
      <c r="N1041" s="29"/>
      <c r="Q1041" s="31"/>
      <c r="R1041" s="26" t="s">
        <v>27</v>
      </c>
      <c r="AG1041" s="47">
        <f t="shared" si="123"/>
        <v>0</v>
      </c>
    </row>
    <row r="1042" spans="6:35" ht="24" customHeight="1">
      <c r="J1042" s="26" t="s">
        <v>48</v>
      </c>
      <c r="N1042" s="29"/>
      <c r="Q1042" s="31"/>
      <c r="R1042" s="157" t="s">
        <v>27</v>
      </c>
      <c r="AD1042" s="27" t="s">
        <v>1361</v>
      </c>
      <c r="AE1042" s="38" t="s">
        <v>67</v>
      </c>
      <c r="AF1042" s="26" t="s">
        <v>1375</v>
      </c>
      <c r="AH1042" s="31"/>
    </row>
    <row r="1043" spans="6:35" ht="24" customHeight="1">
      <c r="H1043" s="26" t="s">
        <v>1371</v>
      </c>
      <c r="N1043" s="29"/>
      <c r="Q1043" s="31"/>
      <c r="R1043" s="26" t="s">
        <v>27</v>
      </c>
      <c r="AE1043" s="29"/>
      <c r="AF1043" s="26" t="s">
        <v>1363</v>
      </c>
      <c r="AH1043" s="31"/>
    </row>
    <row r="1044" spans="6:35" ht="24" customHeight="1">
      <c r="H1044" s="26" t="s">
        <v>27</v>
      </c>
      <c r="I1044" s="26" t="s">
        <v>27</v>
      </c>
      <c r="K1044" s="157" t="s">
        <v>27</v>
      </c>
      <c r="M1044" s="27" t="s">
        <v>1348</v>
      </c>
      <c r="N1044" s="38"/>
      <c r="O1044" s="26" t="s">
        <v>1376</v>
      </c>
      <c r="Q1044" s="31"/>
      <c r="R1044" s="26" t="s">
        <v>27</v>
      </c>
      <c r="AE1044" s="29"/>
      <c r="AF1044" s="26" t="s">
        <v>1365</v>
      </c>
      <c r="AH1044" s="31"/>
    </row>
    <row r="1045" spans="6:35" ht="24" customHeight="1">
      <c r="J1045" s="26" t="s">
        <v>27</v>
      </c>
      <c r="K1045" s="26" t="s">
        <v>27</v>
      </c>
      <c r="N1045" s="29"/>
      <c r="O1045" s="35" t="s">
        <v>48</v>
      </c>
      <c r="Q1045" s="31"/>
      <c r="AE1045" s="29"/>
      <c r="AF1045" s="26" t="s">
        <v>1366</v>
      </c>
      <c r="AH1045" s="31"/>
    </row>
    <row r="1046" spans="6:35" s="167" customFormat="1" ht="24" customHeight="1">
      <c r="F1046" s="28"/>
      <c r="G1046" s="29"/>
      <c r="H1046" s="26" t="s">
        <v>1372</v>
      </c>
      <c r="I1046" s="28"/>
      <c r="J1046" s="157" t="s">
        <v>27</v>
      </c>
      <c r="K1046" s="157" t="s">
        <v>27</v>
      </c>
      <c r="M1046" s="158">
        <v>1.153E-2</v>
      </c>
      <c r="N1046" s="159" t="s">
        <v>93</v>
      </c>
      <c r="O1046" s="160" t="s">
        <v>1377</v>
      </c>
      <c r="P1046" s="161">
        <f>C86</f>
        <v>34300</v>
      </c>
      <c r="Q1046" s="160" t="s">
        <v>93</v>
      </c>
      <c r="R1046" s="161">
        <f t="shared" ref="R1046:R1055" si="124">(M1046*P1046)</f>
        <v>395.47899999999998</v>
      </c>
      <c r="S1046" s="168"/>
      <c r="AD1046" s="28"/>
      <c r="AE1046" s="29"/>
      <c r="AF1046" s="26" t="s">
        <v>1367</v>
      </c>
      <c r="AG1046" s="28"/>
      <c r="AH1046" s="31"/>
      <c r="AI1046" s="28"/>
    </row>
    <row r="1047" spans="6:35" ht="24" customHeight="1">
      <c r="H1047" s="26" t="s">
        <v>1373</v>
      </c>
      <c r="K1047" s="157" t="s">
        <v>1374</v>
      </c>
      <c r="M1047" s="162">
        <v>1.35E-2</v>
      </c>
      <c r="N1047" s="38" t="s">
        <v>93</v>
      </c>
      <c r="O1047" s="26" t="s">
        <v>1377</v>
      </c>
      <c r="P1047" s="40">
        <f>P1046</f>
        <v>34300</v>
      </c>
      <c r="Q1047" s="26" t="s">
        <v>93</v>
      </c>
      <c r="R1047" s="40">
        <f t="shared" si="124"/>
        <v>463.05</v>
      </c>
      <c r="S1047" s="76"/>
      <c r="AE1047" s="29"/>
      <c r="AF1047" s="26" t="s">
        <v>1378</v>
      </c>
      <c r="AH1047" s="31"/>
    </row>
    <row r="1048" spans="6:35" ht="24" customHeight="1">
      <c r="K1048" s="26" t="s">
        <v>27</v>
      </c>
      <c r="M1048" s="162">
        <v>1.016</v>
      </c>
      <c r="N1048" s="38" t="s">
        <v>438</v>
      </c>
      <c r="O1048" s="26" t="s">
        <v>456</v>
      </c>
      <c r="P1048" s="40">
        <f>I1055</f>
        <v>387.4</v>
      </c>
      <c r="Q1048" s="26" t="s">
        <v>438</v>
      </c>
      <c r="R1048" s="40">
        <f t="shared" si="124"/>
        <v>393.59839999999997</v>
      </c>
      <c r="S1048" s="76"/>
      <c r="AE1048" s="29"/>
      <c r="AF1048" s="35" t="s">
        <v>48</v>
      </c>
      <c r="AH1048" s="31"/>
    </row>
    <row r="1049" spans="6:35" ht="24" customHeight="1">
      <c r="K1049" s="157" t="s">
        <v>27</v>
      </c>
      <c r="M1049" s="162">
        <v>1.64</v>
      </c>
      <c r="N1049" s="38" t="s">
        <v>438</v>
      </c>
      <c r="O1049" s="26" t="s">
        <v>457</v>
      </c>
      <c r="P1049" s="40">
        <f t="shared" ref="P1049:P1054" si="125">I1056</f>
        <v>1348.1999999999998</v>
      </c>
      <c r="Q1049" s="26" t="s">
        <v>438</v>
      </c>
      <c r="R1049" s="40">
        <f t="shared" si="124"/>
        <v>2211.0479999999998</v>
      </c>
      <c r="S1049" s="76"/>
      <c r="AE1049" s="29"/>
      <c r="AF1049" s="26" t="s">
        <v>1379</v>
      </c>
      <c r="AH1049" s="31"/>
    </row>
    <row r="1050" spans="6:35" ht="24" customHeight="1">
      <c r="K1050" s="26" t="s">
        <v>27</v>
      </c>
      <c r="M1050" s="40">
        <v>2</v>
      </c>
      <c r="N1050" s="38" t="s">
        <v>105</v>
      </c>
      <c r="O1050" s="26" t="s">
        <v>458</v>
      </c>
      <c r="P1050" s="40">
        <f t="shared" si="125"/>
        <v>57.2</v>
      </c>
      <c r="Q1050" s="26" t="s">
        <v>105</v>
      </c>
      <c r="R1050" s="40">
        <f t="shared" si="124"/>
        <v>114.4</v>
      </c>
      <c r="S1050" s="76"/>
      <c r="AE1050" s="29"/>
      <c r="AF1050" s="26" t="s">
        <v>1380</v>
      </c>
      <c r="AH1050" s="31"/>
    </row>
    <row r="1051" spans="6:35" ht="24" customHeight="1">
      <c r="F1051" s="27" t="s">
        <v>1348</v>
      </c>
      <c r="G1051" s="38"/>
      <c r="H1051" s="26" t="s">
        <v>1376</v>
      </c>
      <c r="K1051" s="26" t="s">
        <v>27</v>
      </c>
      <c r="M1051" s="40">
        <v>3</v>
      </c>
      <c r="N1051" s="38" t="s">
        <v>105</v>
      </c>
      <c r="O1051" s="26" t="s">
        <v>1350</v>
      </c>
      <c r="P1051" s="40">
        <f t="shared" si="125"/>
        <v>79.099999999999994</v>
      </c>
      <c r="Q1051" s="26" t="s">
        <v>105</v>
      </c>
      <c r="R1051" s="40">
        <f t="shared" si="124"/>
        <v>237.29999999999998</v>
      </c>
      <c r="S1051" s="76"/>
      <c r="AE1051" s="29"/>
      <c r="AH1051" s="26" t="s">
        <v>48</v>
      </c>
    </row>
    <row r="1052" spans="6:35" ht="24" customHeight="1">
      <c r="H1052" s="35" t="s">
        <v>48</v>
      </c>
      <c r="M1052" s="40">
        <v>1</v>
      </c>
      <c r="N1052" s="38" t="s">
        <v>105</v>
      </c>
      <c r="O1052" s="26" t="s">
        <v>460</v>
      </c>
      <c r="P1052" s="40">
        <f t="shared" si="125"/>
        <v>159.69999999999999</v>
      </c>
      <c r="Q1052" s="26" t="s">
        <v>105</v>
      </c>
      <c r="R1052" s="40">
        <f t="shared" si="124"/>
        <v>159.69999999999999</v>
      </c>
      <c r="S1052" s="76"/>
      <c r="AE1052" s="29"/>
      <c r="AF1052" s="26" t="s">
        <v>1381</v>
      </c>
      <c r="AH1052" s="31"/>
    </row>
    <row r="1053" spans="6:35" ht="24" customHeight="1">
      <c r="F1053" s="158">
        <v>1.153E-2</v>
      </c>
      <c r="G1053" s="159" t="s">
        <v>93</v>
      </c>
      <c r="H1053" s="160" t="s">
        <v>454</v>
      </c>
      <c r="I1053" s="161">
        <f>C88</f>
        <v>111600</v>
      </c>
      <c r="J1053" s="160" t="s">
        <v>93</v>
      </c>
      <c r="K1053" s="161">
        <f t="shared" ref="K1053:K1063" si="126">(F1053*I1053)</f>
        <v>1286.748</v>
      </c>
      <c r="M1053" s="40">
        <v>1</v>
      </c>
      <c r="N1053" s="38" t="s">
        <v>105</v>
      </c>
      <c r="O1053" s="26" t="s">
        <v>461</v>
      </c>
      <c r="P1053" s="40">
        <f t="shared" si="125"/>
        <v>7.3</v>
      </c>
      <c r="Q1053" s="26" t="s">
        <v>105</v>
      </c>
      <c r="R1053" s="40">
        <f t="shared" si="124"/>
        <v>7.3</v>
      </c>
      <c r="S1053" s="76"/>
      <c r="AE1053" s="29"/>
      <c r="AF1053" s="26" t="s">
        <v>27</v>
      </c>
      <c r="AG1053" s="26" t="s">
        <v>27</v>
      </c>
      <c r="AH1053" s="31"/>
      <c r="AI1053" s="157" t="s">
        <v>27</v>
      </c>
    </row>
    <row r="1054" spans="6:35" ht="24" customHeight="1">
      <c r="F1054" s="162">
        <v>1.35E-2</v>
      </c>
      <c r="G1054" s="38" t="s">
        <v>93</v>
      </c>
      <c r="H1054" s="26" t="s">
        <v>455</v>
      </c>
      <c r="I1054" s="40">
        <f>C89</f>
        <v>99400</v>
      </c>
      <c r="J1054" s="26" t="s">
        <v>93</v>
      </c>
      <c r="K1054" s="40">
        <f t="shared" si="126"/>
        <v>1341.9</v>
      </c>
      <c r="M1054" s="40">
        <v>1</v>
      </c>
      <c r="N1054" s="38" t="s">
        <v>105</v>
      </c>
      <c r="O1054" s="26" t="s">
        <v>1382</v>
      </c>
      <c r="P1054" s="40">
        <f t="shared" si="125"/>
        <v>50.9</v>
      </c>
      <c r="Q1054" s="26" t="s">
        <v>105</v>
      </c>
      <c r="R1054" s="40">
        <f t="shared" si="124"/>
        <v>50.9</v>
      </c>
      <c r="S1054" s="76"/>
      <c r="AE1054" s="29"/>
      <c r="AH1054" s="26" t="s">
        <v>27</v>
      </c>
      <c r="AI1054" s="26" t="s">
        <v>27</v>
      </c>
    </row>
    <row r="1055" spans="6:35" ht="24" customHeight="1">
      <c r="F1055" s="162">
        <v>1.016</v>
      </c>
      <c r="G1055" s="38" t="s">
        <v>438</v>
      </c>
      <c r="H1055" s="26" t="s">
        <v>456</v>
      </c>
      <c r="I1055" s="40">
        <f>C783</f>
        <v>387.4</v>
      </c>
      <c r="J1055" s="26" t="s">
        <v>438</v>
      </c>
      <c r="K1055" s="40">
        <f t="shared" si="126"/>
        <v>393.59839999999997</v>
      </c>
      <c r="M1055" s="40">
        <v>1</v>
      </c>
      <c r="N1055" s="38" t="s">
        <v>105</v>
      </c>
      <c r="O1055" s="26" t="s">
        <v>463</v>
      </c>
      <c r="P1055" s="40">
        <f>P953</f>
        <v>43.8</v>
      </c>
      <c r="Q1055" s="26" t="s">
        <v>105</v>
      </c>
      <c r="R1055" s="40">
        <f t="shared" si="124"/>
        <v>43.8</v>
      </c>
      <c r="S1055" s="76"/>
      <c r="AE1055" s="29"/>
      <c r="AF1055" s="26" t="s">
        <v>1383</v>
      </c>
      <c r="AH1055" s="157" t="s">
        <v>27</v>
      </c>
      <c r="AI1055" s="157" t="s">
        <v>27</v>
      </c>
    </row>
    <row r="1056" spans="6:35" ht="24" customHeight="1">
      <c r="F1056" s="162">
        <v>1.64</v>
      </c>
      <c r="G1056" s="38" t="s">
        <v>438</v>
      </c>
      <c r="H1056" s="26" t="s">
        <v>457</v>
      </c>
      <c r="I1056" s="40">
        <f>D30</f>
        <v>1348.1999999999998</v>
      </c>
      <c r="J1056" s="26" t="s">
        <v>438</v>
      </c>
      <c r="K1056" s="40">
        <f t="shared" si="126"/>
        <v>2211.0479999999998</v>
      </c>
      <c r="N1056" s="29"/>
      <c r="Q1056" s="31"/>
      <c r="R1056" s="35" t="s">
        <v>48</v>
      </c>
      <c r="S1056" s="169"/>
      <c r="AE1056" s="29"/>
      <c r="AF1056" s="26" t="s">
        <v>1384</v>
      </c>
      <c r="AH1056" s="31"/>
      <c r="AI1056" s="157" t="s">
        <v>1385</v>
      </c>
    </row>
    <row r="1057" spans="6:35" ht="24" customHeight="1">
      <c r="F1057" s="40">
        <v>2</v>
      </c>
      <c r="G1057" s="38" t="s">
        <v>105</v>
      </c>
      <c r="H1057" s="26" t="s">
        <v>458</v>
      </c>
      <c r="I1057" s="40">
        <f>C284</f>
        <v>57.2</v>
      </c>
      <c r="J1057" s="26" t="s">
        <v>105</v>
      </c>
      <c r="K1057" s="40">
        <f t="shared" si="126"/>
        <v>114.4</v>
      </c>
      <c r="N1057" s="29"/>
      <c r="O1057" s="27" t="s">
        <v>1386</v>
      </c>
      <c r="Q1057" s="31"/>
      <c r="R1057" s="40">
        <f>SUM(R1046:R1055)</f>
        <v>4076.5754000000002</v>
      </c>
      <c r="S1057" s="76"/>
      <c r="AE1057" s="29"/>
      <c r="AH1057" s="31"/>
      <c r="AI1057" s="26" t="s">
        <v>27</v>
      </c>
    </row>
    <row r="1058" spans="6:35" ht="24" customHeight="1">
      <c r="F1058" s="40">
        <v>3</v>
      </c>
      <c r="G1058" s="38" t="s">
        <v>105</v>
      </c>
      <c r="H1058" s="26" t="s">
        <v>1350</v>
      </c>
      <c r="I1058" s="40">
        <f>C279</f>
        <v>79.099999999999994</v>
      </c>
      <c r="J1058" s="26" t="s">
        <v>105</v>
      </c>
      <c r="K1058" s="40">
        <f t="shared" si="126"/>
        <v>237.29999999999998</v>
      </c>
      <c r="N1058" s="38" t="s">
        <v>27</v>
      </c>
      <c r="Q1058" s="31"/>
      <c r="R1058" s="35" t="s">
        <v>48</v>
      </c>
      <c r="S1058" s="169"/>
      <c r="AE1058" s="29"/>
      <c r="AH1058" s="31"/>
      <c r="AI1058" s="157" t="s">
        <v>27</v>
      </c>
    </row>
    <row r="1059" spans="6:35" ht="24" customHeight="1">
      <c r="F1059" s="40">
        <v>1</v>
      </c>
      <c r="G1059" s="38" t="s">
        <v>105</v>
      </c>
      <c r="H1059" s="26" t="s">
        <v>460</v>
      </c>
      <c r="I1059" s="40">
        <f>C286</f>
        <v>159.69999999999999</v>
      </c>
      <c r="J1059" s="26" t="s">
        <v>105</v>
      </c>
      <c r="K1059" s="40">
        <f t="shared" si="126"/>
        <v>159.69999999999999</v>
      </c>
      <c r="N1059" s="29"/>
      <c r="O1059" s="42" t="s">
        <v>403</v>
      </c>
      <c r="Q1059" s="31"/>
      <c r="R1059" s="39">
        <f>R1057/M1049</f>
        <v>2485.7167073170735</v>
      </c>
      <c r="S1059" s="76"/>
      <c r="AE1059" s="29"/>
      <c r="AH1059" s="31"/>
      <c r="AI1059" s="26" t="s">
        <v>27</v>
      </c>
    </row>
    <row r="1060" spans="6:35" ht="24" customHeight="1">
      <c r="F1060" s="40">
        <v>1</v>
      </c>
      <c r="G1060" s="38" t="s">
        <v>105</v>
      </c>
      <c r="H1060" s="26" t="s">
        <v>461</v>
      </c>
      <c r="I1060" s="40">
        <f>C288</f>
        <v>7.3</v>
      </c>
      <c r="J1060" s="26" t="s">
        <v>105</v>
      </c>
      <c r="K1060" s="40">
        <f t="shared" si="126"/>
        <v>7.3</v>
      </c>
      <c r="N1060" s="29"/>
      <c r="Q1060" s="31"/>
      <c r="R1060" s="35" t="s">
        <v>41</v>
      </c>
      <c r="S1060" s="169" t="s">
        <v>41</v>
      </c>
      <c r="AD1060" s="27" t="s">
        <v>1348</v>
      </c>
      <c r="AE1060" s="38"/>
      <c r="AF1060" s="26" t="s">
        <v>1387</v>
      </c>
      <c r="AH1060" s="31"/>
      <c r="AI1060" s="26" t="s">
        <v>27</v>
      </c>
    </row>
    <row r="1061" spans="6:35" ht="24" customHeight="1">
      <c r="F1061" s="40">
        <v>1</v>
      </c>
      <c r="G1061" s="38" t="s">
        <v>105</v>
      </c>
      <c r="H1061" s="26" t="s">
        <v>1351</v>
      </c>
      <c r="I1061" s="40">
        <f>C598</f>
        <v>50.9</v>
      </c>
      <c r="J1061" s="26" t="s">
        <v>105</v>
      </c>
      <c r="K1061" s="40">
        <f t="shared" si="126"/>
        <v>50.9</v>
      </c>
      <c r="M1061" s="27"/>
      <c r="N1061" s="38"/>
      <c r="O1061" s="26"/>
      <c r="Q1061" s="31"/>
      <c r="R1061" s="26" t="s">
        <v>27</v>
      </c>
      <c r="AE1061" s="29"/>
      <c r="AF1061" s="35" t="s">
        <v>48</v>
      </c>
      <c r="AH1061" s="31"/>
    </row>
    <row r="1062" spans="6:35" ht="24" customHeight="1">
      <c r="F1062" s="40">
        <v>1</v>
      </c>
      <c r="G1062" s="38" t="s">
        <v>105</v>
      </c>
      <c r="H1062" s="26" t="s">
        <v>463</v>
      </c>
      <c r="I1062" s="40">
        <f>D598</f>
        <v>43.8</v>
      </c>
      <c r="J1062" s="26" t="s">
        <v>105</v>
      </c>
      <c r="K1062" s="40">
        <f t="shared" si="126"/>
        <v>43.8</v>
      </c>
      <c r="M1062" s="27" t="s">
        <v>1348</v>
      </c>
      <c r="N1062" s="38"/>
      <c r="O1062" s="26" t="s">
        <v>1388</v>
      </c>
      <c r="Q1062" s="31"/>
      <c r="R1062" s="26" t="s">
        <v>27</v>
      </c>
      <c r="AD1062" s="158">
        <v>2.3060000000000001E-2</v>
      </c>
      <c r="AE1062" s="159" t="s">
        <v>93</v>
      </c>
      <c r="AF1062" s="160" t="s">
        <v>454</v>
      </c>
      <c r="AG1062" s="161">
        <f>I1053</f>
        <v>111600</v>
      </c>
      <c r="AH1062" s="160" t="s">
        <v>93</v>
      </c>
      <c r="AI1062" s="161">
        <f t="shared" ref="AI1062:AI1072" si="127">(AD1062*AG1062)</f>
        <v>2573.4960000000001</v>
      </c>
    </row>
    <row r="1063" spans="6:35" ht="24" customHeight="1">
      <c r="F1063" s="40">
        <v>58</v>
      </c>
      <c r="G1063" s="38" t="s">
        <v>1336</v>
      </c>
      <c r="H1063" s="26" t="s">
        <v>1352</v>
      </c>
      <c r="I1063" s="28">
        <f>I1026</f>
        <v>2.37</v>
      </c>
      <c r="J1063" s="26" t="s">
        <v>105</v>
      </c>
      <c r="K1063" s="40">
        <f t="shared" si="126"/>
        <v>137.46</v>
      </c>
      <c r="N1063" s="29"/>
      <c r="O1063" s="35" t="s">
        <v>48</v>
      </c>
      <c r="Q1063" s="31"/>
      <c r="AD1063" s="162">
        <v>1.856E-2</v>
      </c>
      <c r="AE1063" s="38" t="s">
        <v>93</v>
      </c>
      <c r="AF1063" s="26" t="s">
        <v>455</v>
      </c>
      <c r="AG1063" s="161">
        <f t="shared" ref="AG1063:AG1071" si="128">I1054</f>
        <v>99400</v>
      </c>
      <c r="AH1063" s="26" t="s">
        <v>93</v>
      </c>
      <c r="AI1063" s="40">
        <f t="shared" si="127"/>
        <v>1844.864</v>
      </c>
    </row>
    <row r="1064" spans="6:35" ht="24" customHeight="1">
      <c r="H1064" s="27" t="s">
        <v>1386</v>
      </c>
      <c r="K1064" s="40">
        <f>SUM(K1053:K1063)</f>
        <v>5984.1543999999994</v>
      </c>
      <c r="M1064" s="158">
        <v>1.153E-2</v>
      </c>
      <c r="N1064" s="159" t="s">
        <v>93</v>
      </c>
      <c r="O1064" s="160" t="s">
        <v>454</v>
      </c>
      <c r="P1064" s="161">
        <f>I1053</f>
        <v>111600</v>
      </c>
      <c r="Q1064" s="160" t="s">
        <v>93</v>
      </c>
      <c r="R1064" s="161">
        <f t="shared" ref="R1064:R1074" si="129">(M1064*P1064)</f>
        <v>1286.748</v>
      </c>
      <c r="AD1064" s="162">
        <v>1.4</v>
      </c>
      <c r="AE1064" s="38" t="s">
        <v>438</v>
      </c>
      <c r="AF1064" s="26" t="s">
        <v>456</v>
      </c>
      <c r="AG1064" s="161">
        <f t="shared" si="128"/>
        <v>387.4</v>
      </c>
      <c r="AH1064" s="26" t="s">
        <v>438</v>
      </c>
      <c r="AI1064" s="40">
        <f t="shared" si="127"/>
        <v>542.3599999999999</v>
      </c>
    </row>
    <row r="1065" spans="6:35" ht="24" customHeight="1">
      <c r="G1065" s="38" t="s">
        <v>27</v>
      </c>
      <c r="K1065" s="35" t="s">
        <v>48</v>
      </c>
      <c r="M1065" s="162">
        <v>1.52E-2</v>
      </c>
      <c r="N1065" s="38" t="s">
        <v>93</v>
      </c>
      <c r="O1065" s="26" t="s">
        <v>455</v>
      </c>
      <c r="P1065" s="161">
        <f t="shared" ref="P1065:P1073" si="130">I1054</f>
        <v>99400</v>
      </c>
      <c r="Q1065" s="26" t="s">
        <v>93</v>
      </c>
      <c r="R1065" s="40">
        <f t="shared" si="129"/>
        <v>1510.88</v>
      </c>
      <c r="AD1065" s="162">
        <v>2.2549999999999999</v>
      </c>
      <c r="AE1065" s="38" t="s">
        <v>438</v>
      </c>
      <c r="AF1065" s="26" t="s">
        <v>457</v>
      </c>
      <c r="AG1065" s="161">
        <f t="shared" si="128"/>
        <v>1348.1999999999998</v>
      </c>
      <c r="AH1065" s="26" t="s">
        <v>438</v>
      </c>
      <c r="AI1065" s="40">
        <f t="shared" si="127"/>
        <v>3040.1909999999993</v>
      </c>
    </row>
    <row r="1066" spans="6:35" ht="24" customHeight="1">
      <c r="H1066" s="42" t="s">
        <v>403</v>
      </c>
      <c r="K1066" s="39">
        <f>K1064/F1056</f>
        <v>3648.8746341463411</v>
      </c>
      <c r="M1066" s="162">
        <v>1.26</v>
      </c>
      <c r="N1066" s="38" t="s">
        <v>438</v>
      </c>
      <c r="O1066" s="26" t="s">
        <v>456</v>
      </c>
      <c r="P1066" s="161">
        <f t="shared" si="130"/>
        <v>387.4</v>
      </c>
      <c r="Q1066" s="26" t="s">
        <v>438</v>
      </c>
      <c r="R1066" s="40">
        <f t="shared" si="129"/>
        <v>488.12399999999997</v>
      </c>
      <c r="AD1066" s="40">
        <v>4</v>
      </c>
      <c r="AE1066" s="38" t="s">
        <v>105</v>
      </c>
      <c r="AF1066" s="26" t="s">
        <v>458</v>
      </c>
      <c r="AG1066" s="161">
        <f t="shared" si="128"/>
        <v>57.2</v>
      </c>
      <c r="AH1066" s="26" t="s">
        <v>105</v>
      </c>
      <c r="AI1066" s="40">
        <f t="shared" si="127"/>
        <v>228.8</v>
      </c>
    </row>
    <row r="1067" spans="6:35" ht="24" customHeight="1">
      <c r="K1067" s="35" t="s">
        <v>41</v>
      </c>
      <c r="M1067" s="162">
        <v>1.845</v>
      </c>
      <c r="N1067" s="38" t="s">
        <v>438</v>
      </c>
      <c r="O1067" s="26" t="s">
        <v>457</v>
      </c>
      <c r="P1067" s="161">
        <f t="shared" si="130"/>
        <v>1348.1999999999998</v>
      </c>
      <c r="Q1067" s="26" t="s">
        <v>438</v>
      </c>
      <c r="R1067" s="40">
        <f t="shared" si="129"/>
        <v>2487.4289999999996</v>
      </c>
      <c r="AD1067" s="40">
        <v>6</v>
      </c>
      <c r="AE1067" s="38" t="s">
        <v>105</v>
      </c>
      <c r="AF1067" s="26" t="s">
        <v>1350</v>
      </c>
      <c r="AG1067" s="161">
        <f t="shared" si="128"/>
        <v>79.099999999999994</v>
      </c>
      <c r="AH1067" s="26" t="s">
        <v>105</v>
      </c>
      <c r="AI1067" s="40">
        <f t="shared" si="127"/>
        <v>474.59999999999997</v>
      </c>
    </row>
    <row r="1068" spans="6:35" ht="24" customHeight="1">
      <c r="F1068" s="27" t="s">
        <v>1389</v>
      </c>
      <c r="H1068" s="26" t="s">
        <v>1390</v>
      </c>
      <c r="M1068" s="40">
        <v>2</v>
      </c>
      <c r="N1068" s="38" t="s">
        <v>105</v>
      </c>
      <c r="O1068" s="26" t="s">
        <v>458</v>
      </c>
      <c r="P1068" s="161">
        <f t="shared" si="130"/>
        <v>57.2</v>
      </c>
      <c r="Q1068" s="26" t="s">
        <v>105</v>
      </c>
      <c r="R1068" s="40">
        <f t="shared" si="129"/>
        <v>114.4</v>
      </c>
      <c r="AD1068" s="40">
        <v>1</v>
      </c>
      <c r="AE1068" s="38" t="s">
        <v>105</v>
      </c>
      <c r="AF1068" s="26" t="s">
        <v>460</v>
      </c>
      <c r="AG1068" s="161">
        <f t="shared" si="128"/>
        <v>159.69999999999999</v>
      </c>
      <c r="AH1068" s="26" t="s">
        <v>105</v>
      </c>
      <c r="AI1068" s="40">
        <f t="shared" si="127"/>
        <v>159.69999999999999</v>
      </c>
    </row>
    <row r="1069" spans="6:35" ht="24" customHeight="1">
      <c r="H1069" s="26" t="s">
        <v>1391</v>
      </c>
      <c r="M1069" s="40">
        <v>3</v>
      </c>
      <c r="N1069" s="38" t="s">
        <v>105</v>
      </c>
      <c r="O1069" s="26" t="s">
        <v>1350</v>
      </c>
      <c r="P1069" s="161">
        <f t="shared" si="130"/>
        <v>79.099999999999994</v>
      </c>
      <c r="Q1069" s="26" t="s">
        <v>105</v>
      </c>
      <c r="R1069" s="40">
        <f t="shared" si="129"/>
        <v>237.29999999999998</v>
      </c>
      <c r="AD1069" s="40">
        <v>2</v>
      </c>
      <c r="AE1069" s="38" t="s">
        <v>105</v>
      </c>
      <c r="AF1069" s="26" t="s">
        <v>461</v>
      </c>
      <c r="AG1069" s="161">
        <f t="shared" si="128"/>
        <v>7.3</v>
      </c>
      <c r="AH1069" s="26" t="s">
        <v>105</v>
      </c>
      <c r="AI1069" s="40">
        <f t="shared" si="127"/>
        <v>14.6</v>
      </c>
    </row>
    <row r="1070" spans="6:35" ht="24" customHeight="1">
      <c r="H1070" s="35" t="s">
        <v>48</v>
      </c>
      <c r="M1070" s="40">
        <v>1</v>
      </c>
      <c r="N1070" s="38" t="s">
        <v>105</v>
      </c>
      <c r="O1070" s="26" t="s">
        <v>460</v>
      </c>
      <c r="P1070" s="161">
        <f t="shared" si="130"/>
        <v>159.69999999999999</v>
      </c>
      <c r="Q1070" s="26" t="s">
        <v>105</v>
      </c>
      <c r="R1070" s="40">
        <f t="shared" si="129"/>
        <v>159.69999999999999</v>
      </c>
      <c r="AD1070" s="40">
        <v>2</v>
      </c>
      <c r="AE1070" s="38" t="s">
        <v>105</v>
      </c>
      <c r="AF1070" s="26" t="s">
        <v>1351</v>
      </c>
      <c r="AG1070" s="161">
        <f t="shared" si="128"/>
        <v>50.9</v>
      </c>
      <c r="AH1070" s="26" t="s">
        <v>105</v>
      </c>
      <c r="AI1070" s="40">
        <f t="shared" si="127"/>
        <v>101.8</v>
      </c>
    </row>
    <row r="1071" spans="6:35" ht="24" customHeight="1">
      <c r="F1071" s="162">
        <v>6.6499999999999997E-3</v>
      </c>
      <c r="G1071" s="38" t="s">
        <v>475</v>
      </c>
      <c r="H1071" s="26" t="s">
        <v>1392</v>
      </c>
      <c r="I1071" s="40">
        <f>C89</f>
        <v>99400</v>
      </c>
      <c r="J1071" s="26" t="s">
        <v>93</v>
      </c>
      <c r="K1071" s="40">
        <f t="shared" ref="K1071:K1078" si="131">(F1071*I1071)</f>
        <v>661.01</v>
      </c>
      <c r="M1071" s="40">
        <v>1</v>
      </c>
      <c r="N1071" s="38" t="s">
        <v>105</v>
      </c>
      <c r="O1071" s="26" t="s">
        <v>461</v>
      </c>
      <c r="P1071" s="161">
        <f t="shared" si="130"/>
        <v>7.3</v>
      </c>
      <c r="Q1071" s="26" t="s">
        <v>105</v>
      </c>
      <c r="R1071" s="40">
        <f t="shared" si="129"/>
        <v>7.3</v>
      </c>
      <c r="AD1071" s="40">
        <v>2</v>
      </c>
      <c r="AE1071" s="38" t="s">
        <v>105</v>
      </c>
      <c r="AF1071" s="26" t="s">
        <v>463</v>
      </c>
      <c r="AG1071" s="161">
        <f t="shared" si="128"/>
        <v>43.8</v>
      </c>
      <c r="AH1071" s="26" t="s">
        <v>105</v>
      </c>
      <c r="AI1071" s="40">
        <f t="shared" si="127"/>
        <v>87.6</v>
      </c>
    </row>
    <row r="1072" spans="6:35" ht="24" customHeight="1">
      <c r="F1072" s="162">
        <v>0.32346000000000003</v>
      </c>
      <c r="G1072" s="38" t="s">
        <v>438</v>
      </c>
      <c r="H1072" s="26" t="s">
        <v>1393</v>
      </c>
      <c r="I1072" s="110">
        <v>208.8</v>
      </c>
      <c r="J1072" s="26" t="s">
        <v>93</v>
      </c>
      <c r="K1072" s="40">
        <f t="shared" si="131"/>
        <v>67.538448000000002</v>
      </c>
      <c r="M1072" s="40">
        <v>1</v>
      </c>
      <c r="N1072" s="38" t="s">
        <v>105</v>
      </c>
      <c r="O1072" s="26" t="s">
        <v>1351</v>
      </c>
      <c r="P1072" s="161">
        <f t="shared" si="130"/>
        <v>50.9</v>
      </c>
      <c r="Q1072" s="26" t="s">
        <v>105</v>
      </c>
      <c r="R1072" s="40">
        <f t="shared" si="129"/>
        <v>50.9</v>
      </c>
      <c r="AD1072" s="40">
        <v>118</v>
      </c>
      <c r="AE1072" s="38" t="s">
        <v>105</v>
      </c>
      <c r="AF1072" s="26" t="s">
        <v>1352</v>
      </c>
      <c r="AG1072" s="161">
        <f>I1063</f>
        <v>2.37</v>
      </c>
      <c r="AH1072" s="31"/>
      <c r="AI1072" s="40">
        <f t="shared" si="127"/>
        <v>279.66000000000003</v>
      </c>
    </row>
    <row r="1073" spans="6:35" ht="24" customHeight="1">
      <c r="F1073" s="162">
        <v>0.47660000000000002</v>
      </c>
      <c r="G1073" s="38" t="s">
        <v>438</v>
      </c>
      <c r="H1073" s="26" t="s">
        <v>457</v>
      </c>
      <c r="I1073" s="40">
        <f>D31</f>
        <v>1509.1999999999998</v>
      </c>
      <c r="J1073" s="26" t="s">
        <v>438</v>
      </c>
      <c r="K1073" s="40">
        <f t="shared" si="131"/>
        <v>719.28471999999999</v>
      </c>
      <c r="M1073" s="40">
        <v>1</v>
      </c>
      <c r="N1073" s="38" t="s">
        <v>105</v>
      </c>
      <c r="O1073" s="26" t="s">
        <v>463</v>
      </c>
      <c r="P1073" s="161">
        <f t="shared" si="130"/>
        <v>43.8</v>
      </c>
      <c r="Q1073" s="26" t="s">
        <v>105</v>
      </c>
      <c r="R1073" s="40">
        <f t="shared" si="129"/>
        <v>43.8</v>
      </c>
      <c r="AE1073" s="29"/>
      <c r="AF1073" s="27" t="s">
        <v>1394</v>
      </c>
      <c r="AH1073" s="31"/>
      <c r="AI1073" s="40">
        <f>SUM(AI1062:AI1072)</f>
        <v>9347.6710000000003</v>
      </c>
    </row>
    <row r="1074" spans="6:35" ht="24" customHeight="1">
      <c r="F1074" s="40">
        <v>3</v>
      </c>
      <c r="G1074" s="38" t="s">
        <v>105</v>
      </c>
      <c r="H1074" s="26" t="s">
        <v>1395</v>
      </c>
      <c r="I1074" s="40">
        <f>C282</f>
        <v>43.6</v>
      </c>
      <c r="J1074" s="26" t="s">
        <v>105</v>
      </c>
      <c r="K1074" s="40">
        <f t="shared" si="131"/>
        <v>130.80000000000001</v>
      </c>
      <c r="M1074" s="40">
        <v>58</v>
      </c>
      <c r="N1074" s="29"/>
      <c r="O1074" s="26" t="s">
        <v>1353</v>
      </c>
      <c r="P1074" s="161">
        <f>I1078</f>
        <v>2.37</v>
      </c>
      <c r="Q1074" s="31"/>
      <c r="R1074" s="40">
        <f t="shared" si="129"/>
        <v>137.46</v>
      </c>
      <c r="AE1074" s="38" t="s">
        <v>27</v>
      </c>
      <c r="AH1074" s="31"/>
      <c r="AI1074" s="35" t="s">
        <v>48</v>
      </c>
    </row>
    <row r="1075" spans="6:35" ht="24" customHeight="1">
      <c r="F1075" s="40">
        <v>2</v>
      </c>
      <c r="G1075" s="38" t="s">
        <v>105</v>
      </c>
      <c r="H1075" s="26" t="s">
        <v>1396</v>
      </c>
      <c r="I1075" s="40">
        <f>C285</f>
        <v>35.1</v>
      </c>
      <c r="J1075" s="26" t="s">
        <v>105</v>
      </c>
      <c r="K1075" s="40">
        <f t="shared" si="131"/>
        <v>70.2</v>
      </c>
      <c r="N1075" s="29"/>
      <c r="O1075" s="27" t="s">
        <v>1397</v>
      </c>
      <c r="Q1075" s="31"/>
      <c r="R1075" s="40">
        <f>SUM(R1064:R1074)</f>
        <v>6524.0409999999993</v>
      </c>
      <c r="AE1075" s="29"/>
      <c r="AF1075" s="42" t="s">
        <v>403</v>
      </c>
      <c r="AH1075" s="31"/>
      <c r="AI1075" s="39">
        <f>AI1073/AD1065</f>
        <v>4145.3086474501115</v>
      </c>
    </row>
    <row r="1076" spans="6:35" ht="24" customHeight="1">
      <c r="F1076" s="40">
        <v>1</v>
      </c>
      <c r="G1076" s="38" t="s">
        <v>105</v>
      </c>
      <c r="H1076" s="26" t="s">
        <v>1398</v>
      </c>
      <c r="I1076" s="150">
        <f>I1060</f>
        <v>7.3</v>
      </c>
      <c r="J1076" s="26" t="s">
        <v>105</v>
      </c>
      <c r="K1076" s="40">
        <f t="shared" si="131"/>
        <v>7.3</v>
      </c>
      <c r="N1076" s="38" t="s">
        <v>27</v>
      </c>
      <c r="Q1076" s="31"/>
      <c r="R1076" s="35" t="s">
        <v>48</v>
      </c>
      <c r="AE1076" s="29"/>
      <c r="AH1076" s="31"/>
      <c r="AI1076" s="35" t="s">
        <v>41</v>
      </c>
    </row>
    <row r="1077" spans="6:35" ht="24" customHeight="1">
      <c r="F1077" s="40">
        <v>1</v>
      </c>
      <c r="G1077" s="38" t="s">
        <v>105</v>
      </c>
      <c r="H1077" s="26" t="s">
        <v>1399</v>
      </c>
      <c r="I1077" s="40">
        <f>C292</f>
        <v>8.9</v>
      </c>
      <c r="J1077" s="26" t="s">
        <v>105</v>
      </c>
      <c r="K1077" s="40">
        <f t="shared" si="131"/>
        <v>8.9</v>
      </c>
      <c r="N1077" s="29"/>
      <c r="O1077" s="42" t="s">
        <v>403</v>
      </c>
      <c r="Q1077" s="31"/>
      <c r="R1077" s="39">
        <f>R1075/M1067</f>
        <v>3536.0655826558263</v>
      </c>
      <c r="AG1077" s="47">
        <f t="shared" ref="AG1077:AG1140" si="132">AI1077</f>
        <v>0</v>
      </c>
    </row>
    <row r="1078" spans="6:35" ht="24" customHeight="1">
      <c r="F1078" s="40">
        <v>24</v>
      </c>
      <c r="H1078" s="26" t="s">
        <v>1352</v>
      </c>
      <c r="I1078" s="28">
        <f>I1063</f>
        <v>2.37</v>
      </c>
      <c r="J1078" s="26" t="s">
        <v>105</v>
      </c>
      <c r="K1078" s="40">
        <f t="shared" si="131"/>
        <v>56.88</v>
      </c>
      <c r="N1078" s="29"/>
      <c r="Q1078" s="31"/>
      <c r="R1078" s="35" t="s">
        <v>41</v>
      </c>
      <c r="AG1078" s="47">
        <f t="shared" si="132"/>
        <v>0</v>
      </c>
    </row>
    <row r="1079" spans="6:35" ht="24" customHeight="1">
      <c r="H1079" s="27" t="s">
        <v>1400</v>
      </c>
      <c r="K1079" s="40">
        <f>SUM(K1071:K1078)</f>
        <v>1721.9131680000003</v>
      </c>
      <c r="AG1079" s="47">
        <f t="shared" si="132"/>
        <v>0</v>
      </c>
    </row>
    <row r="1080" spans="6:35" ht="24" customHeight="1">
      <c r="K1080" s="35" t="s">
        <v>48</v>
      </c>
      <c r="AG1080" s="47">
        <f t="shared" si="132"/>
        <v>0</v>
      </c>
    </row>
    <row r="1081" spans="6:35" ht="24" customHeight="1">
      <c r="H1081" s="42" t="s">
        <v>403</v>
      </c>
      <c r="I1081" s="26" t="s">
        <v>27</v>
      </c>
      <c r="K1081" s="39">
        <f>K1079/F1073</f>
        <v>3612.9105497272349</v>
      </c>
      <c r="AG1081" s="47">
        <f t="shared" si="132"/>
        <v>0</v>
      </c>
    </row>
    <row r="1082" spans="6:35" ht="24" customHeight="1">
      <c r="K1082" s="35" t="s">
        <v>41</v>
      </c>
      <c r="AG1082" s="47">
        <f t="shared" si="132"/>
        <v>0</v>
      </c>
    </row>
    <row r="1083" spans="6:35" ht="24" customHeight="1">
      <c r="F1083" s="27" t="s">
        <v>1401</v>
      </c>
      <c r="G1083" s="38" t="s">
        <v>67</v>
      </c>
      <c r="H1083" s="26" t="s">
        <v>1390</v>
      </c>
      <c r="AG1083" s="47">
        <f t="shared" si="132"/>
        <v>0</v>
      </c>
    </row>
    <row r="1084" spans="6:35" ht="24" customHeight="1">
      <c r="H1084" s="26" t="s">
        <v>1402</v>
      </c>
      <c r="N1084" s="26" t="s">
        <v>1316</v>
      </c>
      <c r="AG1084" s="47">
        <f t="shared" si="132"/>
        <v>0</v>
      </c>
    </row>
    <row r="1085" spans="6:35" ht="24" customHeight="1">
      <c r="H1085" s="35" t="s">
        <v>48</v>
      </c>
      <c r="N1085" s="26" t="s">
        <v>1311</v>
      </c>
      <c r="AG1085" s="47">
        <f t="shared" si="132"/>
        <v>0</v>
      </c>
    </row>
    <row r="1086" spans="6:35" ht="24" customHeight="1">
      <c r="F1086" s="162">
        <v>5.4000000000000003E-3</v>
      </c>
      <c r="G1086" s="38" t="s">
        <v>475</v>
      </c>
      <c r="H1086" s="26" t="s">
        <v>1392</v>
      </c>
      <c r="I1086" s="40">
        <f>C89</f>
        <v>99400</v>
      </c>
      <c r="J1086" s="26" t="s">
        <v>93</v>
      </c>
      <c r="K1086" s="40">
        <f t="shared" ref="K1086:K1093" si="133">(F1086*I1086)</f>
        <v>536.76</v>
      </c>
      <c r="N1086" s="26" t="s">
        <v>1403</v>
      </c>
      <c r="AG1086" s="47">
        <f t="shared" si="132"/>
        <v>0</v>
      </c>
    </row>
    <row r="1087" spans="6:35" ht="24" customHeight="1">
      <c r="F1087" s="162">
        <v>0.23871000000000001</v>
      </c>
      <c r="G1087" s="38" t="s">
        <v>438</v>
      </c>
      <c r="H1087" s="96" t="str">
        <f>H1072</f>
        <v>frosted glass 4mmthick</v>
      </c>
      <c r="I1087" s="150">
        <f>I1072</f>
        <v>208.8</v>
      </c>
      <c r="J1087" s="26" t="s">
        <v>93</v>
      </c>
      <c r="K1087" s="40">
        <f t="shared" si="133"/>
        <v>49.842648000000004</v>
      </c>
      <c r="AG1087" s="47">
        <f t="shared" si="132"/>
        <v>0</v>
      </c>
    </row>
    <row r="1088" spans="6:35" ht="24" customHeight="1">
      <c r="F1088" s="162">
        <v>0.36199999999999999</v>
      </c>
      <c r="G1088" s="38" t="s">
        <v>438</v>
      </c>
      <c r="H1088" s="26" t="s">
        <v>457</v>
      </c>
      <c r="I1088" s="40">
        <f>D31</f>
        <v>1509.1999999999998</v>
      </c>
      <c r="J1088" s="26" t="s">
        <v>438</v>
      </c>
      <c r="K1088" s="40">
        <f t="shared" si="133"/>
        <v>546.33039999999994</v>
      </c>
      <c r="AG1088" s="47">
        <f t="shared" si="132"/>
        <v>0</v>
      </c>
    </row>
    <row r="1089" spans="6:33" ht="24" customHeight="1">
      <c r="F1089" s="40">
        <v>3</v>
      </c>
      <c r="G1089" s="38" t="s">
        <v>105</v>
      </c>
      <c r="H1089" s="26" t="s">
        <v>1395</v>
      </c>
      <c r="I1089" s="40">
        <f>C282</f>
        <v>43.6</v>
      </c>
      <c r="J1089" s="26" t="s">
        <v>105</v>
      </c>
      <c r="K1089" s="40">
        <f t="shared" si="133"/>
        <v>130.80000000000001</v>
      </c>
      <c r="M1089" s="106">
        <v>2.2800000000000001E-2</v>
      </c>
      <c r="N1089" s="38" t="s">
        <v>93</v>
      </c>
      <c r="O1089" s="26" t="s">
        <v>1327</v>
      </c>
      <c r="P1089" s="40">
        <f>I1053</f>
        <v>111600</v>
      </c>
      <c r="Q1089" s="26" t="s">
        <v>93</v>
      </c>
      <c r="R1089" s="40">
        <f>P1089*M1089</f>
        <v>2544.48</v>
      </c>
      <c r="AG1089" s="47">
        <f t="shared" si="132"/>
        <v>0</v>
      </c>
    </row>
    <row r="1090" spans="6:33" ht="24" customHeight="1">
      <c r="F1090" s="40">
        <v>2</v>
      </c>
      <c r="G1090" s="38" t="s">
        <v>105</v>
      </c>
      <c r="H1090" s="26" t="s">
        <v>1396</v>
      </c>
      <c r="I1090" s="40">
        <f>C285</f>
        <v>35.1</v>
      </c>
      <c r="J1090" s="26" t="s">
        <v>105</v>
      </c>
      <c r="K1090" s="40">
        <f t="shared" si="133"/>
        <v>70.2</v>
      </c>
      <c r="M1090" s="106">
        <v>4.2999999999999997E-2</v>
      </c>
      <c r="N1090" s="38" t="s">
        <v>93</v>
      </c>
      <c r="O1090" s="26" t="s">
        <v>1329</v>
      </c>
      <c r="P1090" s="40">
        <f>I1054</f>
        <v>99400</v>
      </c>
      <c r="Q1090" s="26" t="s">
        <v>93</v>
      </c>
      <c r="R1090" s="40">
        <f t="shared" ref="R1090:R1100" si="134">P1090*M1090</f>
        <v>4274.2</v>
      </c>
      <c r="AG1090" s="47">
        <f t="shared" si="132"/>
        <v>0</v>
      </c>
    </row>
    <row r="1091" spans="6:33" ht="24" customHeight="1">
      <c r="F1091" s="40">
        <v>1</v>
      </c>
      <c r="G1091" s="38" t="s">
        <v>105</v>
      </c>
      <c r="H1091" s="26" t="s">
        <v>1398</v>
      </c>
      <c r="I1091" s="150">
        <f>I1076</f>
        <v>7.3</v>
      </c>
      <c r="J1091" s="26" t="s">
        <v>105</v>
      </c>
      <c r="K1091" s="40">
        <f t="shared" si="133"/>
        <v>7.3</v>
      </c>
      <c r="M1091" s="106">
        <v>4.0800000000000003E-2</v>
      </c>
      <c r="N1091" s="38" t="s">
        <v>93</v>
      </c>
      <c r="O1091" s="26" t="s">
        <v>1331</v>
      </c>
      <c r="P1091" s="40">
        <f>I1017</f>
        <v>95000</v>
      </c>
      <c r="Q1091" s="26" t="s">
        <v>93</v>
      </c>
      <c r="R1091" s="40">
        <f t="shared" si="134"/>
        <v>3876.0000000000005</v>
      </c>
      <c r="AG1091" s="47">
        <f t="shared" si="132"/>
        <v>0</v>
      </c>
    </row>
    <row r="1092" spans="6:33" ht="24" customHeight="1">
      <c r="F1092" s="40">
        <v>1</v>
      </c>
      <c r="G1092" s="38" t="s">
        <v>105</v>
      </c>
      <c r="H1092" s="26" t="s">
        <v>1399</v>
      </c>
      <c r="I1092" s="40">
        <f>C292</f>
        <v>8.9</v>
      </c>
      <c r="J1092" s="26" t="s">
        <v>105</v>
      </c>
      <c r="K1092" s="40">
        <f t="shared" si="133"/>
        <v>8.9</v>
      </c>
      <c r="M1092" s="106"/>
      <c r="N1092" s="29"/>
      <c r="O1092" s="26" t="s">
        <v>1404</v>
      </c>
      <c r="P1092" s="40"/>
      <c r="Q1092" s="31"/>
      <c r="R1092" s="40">
        <f t="shared" si="134"/>
        <v>0</v>
      </c>
      <c r="AG1092" s="47">
        <f t="shared" si="132"/>
        <v>0</v>
      </c>
    </row>
    <row r="1093" spans="6:33" ht="24" customHeight="1">
      <c r="F1093" s="40">
        <v>10</v>
      </c>
      <c r="H1093" s="26" t="s">
        <v>1352</v>
      </c>
      <c r="I1093" s="40">
        <f>I1078</f>
        <v>2.37</v>
      </c>
      <c r="J1093" s="26" t="s">
        <v>105</v>
      </c>
      <c r="K1093" s="40">
        <f t="shared" si="133"/>
        <v>23.700000000000003</v>
      </c>
      <c r="M1093" s="106">
        <v>3.4424999999999999</v>
      </c>
      <c r="N1093" s="38" t="s">
        <v>438</v>
      </c>
      <c r="O1093" s="26" t="s">
        <v>1324</v>
      </c>
      <c r="P1093" s="40">
        <f>I1019</f>
        <v>1617</v>
      </c>
      <c r="Q1093" s="26" t="s">
        <v>438</v>
      </c>
      <c r="R1093" s="40">
        <f t="shared" si="134"/>
        <v>5566.5225</v>
      </c>
      <c r="AG1093" s="47">
        <f t="shared" si="132"/>
        <v>0</v>
      </c>
    </row>
    <row r="1094" spans="6:33" ht="24" customHeight="1">
      <c r="K1094" s="35" t="s">
        <v>48</v>
      </c>
      <c r="M1094" s="40">
        <v>2</v>
      </c>
      <c r="N1094" s="38" t="s">
        <v>196</v>
      </c>
      <c r="O1094" s="26" t="s">
        <v>1334</v>
      </c>
      <c r="P1094" s="40">
        <f t="shared" ref="P1094:P1099" si="135">I1020</f>
        <v>50.9</v>
      </c>
      <c r="Q1094" s="26" t="s">
        <v>105</v>
      </c>
      <c r="R1094" s="40">
        <f t="shared" si="134"/>
        <v>101.8</v>
      </c>
      <c r="AG1094" s="47">
        <f t="shared" si="132"/>
        <v>0</v>
      </c>
    </row>
    <row r="1095" spans="6:33" ht="24" customHeight="1">
      <c r="H1095" s="27" t="s">
        <v>1405</v>
      </c>
      <c r="K1095" s="40">
        <f>SUM(K1082:K1093)</f>
        <v>1373.833048</v>
      </c>
      <c r="M1095" s="40">
        <v>6</v>
      </c>
      <c r="N1095" s="38" t="s">
        <v>105</v>
      </c>
      <c r="O1095" s="26" t="s">
        <v>1326</v>
      </c>
      <c r="P1095" s="40">
        <f t="shared" si="135"/>
        <v>79.099999999999994</v>
      </c>
      <c r="Q1095" s="26" t="s">
        <v>105</v>
      </c>
      <c r="R1095" s="40">
        <f t="shared" si="134"/>
        <v>474.59999999999997</v>
      </c>
      <c r="AG1095" s="47">
        <f t="shared" si="132"/>
        <v>0</v>
      </c>
    </row>
    <row r="1096" spans="6:33" ht="24" customHeight="1">
      <c r="K1096" s="35" t="s">
        <v>48</v>
      </c>
      <c r="M1096" s="40">
        <v>4</v>
      </c>
      <c r="N1096" s="38" t="s">
        <v>105</v>
      </c>
      <c r="O1096" s="26" t="s">
        <v>1328</v>
      </c>
      <c r="P1096" s="40">
        <f t="shared" si="135"/>
        <v>57.2</v>
      </c>
      <c r="Q1096" s="26" t="s">
        <v>105</v>
      </c>
      <c r="R1096" s="40">
        <f t="shared" si="134"/>
        <v>228.8</v>
      </c>
      <c r="AG1096" s="47">
        <f t="shared" si="132"/>
        <v>0</v>
      </c>
    </row>
    <row r="1097" spans="6:33" ht="24" customHeight="1">
      <c r="H1097" s="42" t="s">
        <v>403</v>
      </c>
      <c r="I1097" s="26" t="s">
        <v>27</v>
      </c>
      <c r="K1097" s="39">
        <f>K1095/F1088</f>
        <v>3795.1189171270717</v>
      </c>
      <c r="M1097" s="40">
        <v>1</v>
      </c>
      <c r="N1097" s="38" t="s">
        <v>105</v>
      </c>
      <c r="O1097" s="26" t="s">
        <v>1330</v>
      </c>
      <c r="P1097" s="40">
        <f t="shared" si="135"/>
        <v>159.69999999999999</v>
      </c>
      <c r="Q1097" s="26" t="s">
        <v>105</v>
      </c>
      <c r="R1097" s="40">
        <f t="shared" si="134"/>
        <v>159.69999999999999</v>
      </c>
      <c r="AG1097" s="47">
        <f t="shared" si="132"/>
        <v>0</v>
      </c>
    </row>
    <row r="1098" spans="6:33" ht="24" customHeight="1">
      <c r="K1098" s="35" t="s">
        <v>41</v>
      </c>
      <c r="M1098" s="40">
        <v>2</v>
      </c>
      <c r="N1098" s="38" t="s">
        <v>105</v>
      </c>
      <c r="O1098" s="26" t="s">
        <v>1332</v>
      </c>
      <c r="P1098" s="40">
        <f t="shared" si="135"/>
        <v>7.3</v>
      </c>
      <c r="Q1098" s="26" t="s">
        <v>105</v>
      </c>
      <c r="R1098" s="40">
        <f t="shared" si="134"/>
        <v>14.6</v>
      </c>
      <c r="AG1098" s="47">
        <f t="shared" si="132"/>
        <v>0</v>
      </c>
    </row>
    <row r="1099" spans="6:33" ht="24" customHeight="1">
      <c r="F1099" s="27" t="s">
        <v>1406</v>
      </c>
      <c r="G1099" s="38" t="s">
        <v>67</v>
      </c>
      <c r="H1099" s="26" t="s">
        <v>1407</v>
      </c>
      <c r="M1099" s="40">
        <v>2</v>
      </c>
      <c r="N1099" s="38" t="s">
        <v>105</v>
      </c>
      <c r="O1099" s="26" t="s">
        <v>463</v>
      </c>
      <c r="P1099" s="40">
        <f t="shared" si="135"/>
        <v>43.8</v>
      </c>
      <c r="Q1099" s="26" t="s">
        <v>105</v>
      </c>
      <c r="R1099" s="40">
        <f t="shared" si="134"/>
        <v>87.6</v>
      </c>
      <c r="AG1099" s="47">
        <f t="shared" si="132"/>
        <v>0</v>
      </c>
    </row>
    <row r="1100" spans="6:33" ht="24" customHeight="1">
      <c r="H1100" s="26" t="s">
        <v>1408</v>
      </c>
      <c r="M1100" s="40">
        <v>10</v>
      </c>
      <c r="N1100" s="29"/>
      <c r="O1100" s="26" t="s">
        <v>1353</v>
      </c>
      <c r="P1100" s="40">
        <f>P1074</f>
        <v>2.37</v>
      </c>
      <c r="Q1100" s="31"/>
      <c r="R1100" s="40">
        <f t="shared" si="134"/>
        <v>23.700000000000003</v>
      </c>
      <c r="AG1100" s="47">
        <f t="shared" si="132"/>
        <v>0</v>
      </c>
    </row>
    <row r="1101" spans="6:33" ht="24" customHeight="1">
      <c r="H1101" s="35" t="s">
        <v>48</v>
      </c>
      <c r="N1101" s="29"/>
      <c r="O1101" s="26" t="s">
        <v>1354</v>
      </c>
      <c r="Q1101" s="31"/>
      <c r="R1101" s="40">
        <f>SUM(R1089:R1100)+0.31</f>
        <v>17352.312499999996</v>
      </c>
      <c r="AG1101" s="47">
        <f t="shared" si="132"/>
        <v>0</v>
      </c>
    </row>
    <row r="1102" spans="6:33" ht="24" customHeight="1">
      <c r="F1102" s="162">
        <v>5.3E-3</v>
      </c>
      <c r="G1102" s="38" t="s">
        <v>475</v>
      </c>
      <c r="H1102" s="26" t="s">
        <v>1392</v>
      </c>
      <c r="I1102" s="40">
        <f>C89</f>
        <v>99400</v>
      </c>
      <c r="J1102" s="26" t="s">
        <v>93</v>
      </c>
      <c r="K1102" s="40">
        <f t="shared" ref="K1102:K1108" si="136">(F1102*I1102)</f>
        <v>526.82000000000005</v>
      </c>
      <c r="N1102" s="29"/>
      <c r="Q1102" s="31"/>
      <c r="R1102" s="35" t="s">
        <v>48</v>
      </c>
      <c r="AG1102" s="47"/>
    </row>
    <row r="1103" spans="6:33" ht="24" customHeight="1">
      <c r="F1103" s="162">
        <v>0.27450000000000002</v>
      </c>
      <c r="G1103" s="38" t="s">
        <v>438</v>
      </c>
      <c r="H1103" s="26" t="str">
        <f>H1087</f>
        <v>frosted glass 4mmthick</v>
      </c>
      <c r="I1103" s="73">
        <f>I1072</f>
        <v>208.8</v>
      </c>
      <c r="J1103" s="26" t="s">
        <v>93</v>
      </c>
      <c r="K1103" s="40">
        <f t="shared" si="136"/>
        <v>57.315600000000011</v>
      </c>
      <c r="N1103" s="29"/>
      <c r="O1103" s="42" t="s">
        <v>403</v>
      </c>
      <c r="Q1103" s="31"/>
      <c r="R1103" s="39">
        <f>R1101/M1093</f>
        <v>5040.6136528685538</v>
      </c>
      <c r="AG1103" s="47">
        <f t="shared" si="132"/>
        <v>0</v>
      </c>
    </row>
    <row r="1104" spans="6:33" ht="24" customHeight="1">
      <c r="F1104" s="162">
        <v>0.4</v>
      </c>
      <c r="G1104" s="38" t="s">
        <v>438</v>
      </c>
      <c r="H1104" s="26" t="s">
        <v>457</v>
      </c>
      <c r="I1104" s="40">
        <f>D32</f>
        <v>1261.3999999999999</v>
      </c>
      <c r="J1104" s="26" t="s">
        <v>438</v>
      </c>
      <c r="K1104" s="40">
        <f t="shared" si="136"/>
        <v>504.55999999999995</v>
      </c>
      <c r="N1104" s="29"/>
      <c r="Q1104" s="31"/>
      <c r="R1104" s="35" t="s">
        <v>41</v>
      </c>
      <c r="AG1104" s="47">
        <f t="shared" si="132"/>
        <v>0</v>
      </c>
    </row>
    <row r="1105" spans="6:33" ht="24" customHeight="1">
      <c r="F1105" s="40">
        <v>2</v>
      </c>
      <c r="G1105" s="38" t="s">
        <v>1409</v>
      </c>
      <c r="H1105" s="26" t="s">
        <v>1410</v>
      </c>
      <c r="I1105" s="40">
        <f>C305</f>
        <v>8.5</v>
      </c>
      <c r="J1105" s="26" t="s">
        <v>1409</v>
      </c>
      <c r="K1105" s="40">
        <f t="shared" si="136"/>
        <v>17</v>
      </c>
      <c r="AG1105" s="47">
        <f t="shared" si="132"/>
        <v>0</v>
      </c>
    </row>
    <row r="1106" spans="6:33" ht="24" customHeight="1">
      <c r="F1106" s="40">
        <v>1</v>
      </c>
      <c r="G1106" s="38" t="s">
        <v>105</v>
      </c>
      <c r="H1106" s="26" t="s">
        <v>1411</v>
      </c>
      <c r="I1106" s="40">
        <f>C293</f>
        <v>6.1</v>
      </c>
      <c r="J1106" s="26" t="s">
        <v>105</v>
      </c>
      <c r="K1106" s="40">
        <f t="shared" si="136"/>
        <v>6.1</v>
      </c>
      <c r="AG1106" s="47">
        <f t="shared" si="132"/>
        <v>0</v>
      </c>
    </row>
    <row r="1107" spans="6:33" ht="24" customHeight="1">
      <c r="F1107" s="40">
        <v>1</v>
      </c>
      <c r="G1107" s="38" t="s">
        <v>105</v>
      </c>
      <c r="H1107" s="26" t="s">
        <v>1412</v>
      </c>
      <c r="I1107" s="73">
        <f>C291</f>
        <v>11.8</v>
      </c>
      <c r="J1107" s="26" t="s">
        <v>105</v>
      </c>
      <c r="K1107" s="40">
        <f t="shared" si="136"/>
        <v>11.8</v>
      </c>
      <c r="O1107" s="26" t="s">
        <v>1413</v>
      </c>
      <c r="AG1107" s="47">
        <f t="shared" si="132"/>
        <v>0</v>
      </c>
    </row>
    <row r="1108" spans="6:33" ht="24" customHeight="1">
      <c r="F1108" s="40">
        <v>10</v>
      </c>
      <c r="H1108" s="26" t="s">
        <v>1352</v>
      </c>
      <c r="I1108" s="40">
        <f>I1093</f>
        <v>2.37</v>
      </c>
      <c r="J1108" s="26" t="s">
        <v>105</v>
      </c>
      <c r="K1108" s="40">
        <f t="shared" si="136"/>
        <v>23.700000000000003</v>
      </c>
      <c r="AG1108" s="47">
        <f t="shared" si="132"/>
        <v>0</v>
      </c>
    </row>
    <row r="1109" spans="6:33" ht="24" customHeight="1">
      <c r="K1109" s="35" t="s">
        <v>48</v>
      </c>
      <c r="AG1109" s="47">
        <f t="shared" si="132"/>
        <v>0</v>
      </c>
    </row>
    <row r="1110" spans="6:33" ht="24" customHeight="1">
      <c r="H1110" s="27" t="s">
        <v>1414</v>
      </c>
      <c r="K1110" s="40">
        <f>SUM(K1098:K1108)</f>
        <v>1147.2955999999999</v>
      </c>
      <c r="AG1110" s="47">
        <f t="shared" si="132"/>
        <v>0</v>
      </c>
    </row>
    <row r="1111" spans="6:33" ht="24" customHeight="1">
      <c r="K1111" s="35" t="s">
        <v>48</v>
      </c>
      <c r="M1111" s="170">
        <v>2.2800000000000001E-2</v>
      </c>
      <c r="N1111" s="171" t="s">
        <v>93</v>
      </c>
      <c r="O1111" s="139" t="s">
        <v>1415</v>
      </c>
      <c r="P1111" s="139">
        <f>P1089</f>
        <v>111600</v>
      </c>
      <c r="Q1111" s="172" t="s">
        <v>93</v>
      </c>
      <c r="R1111" s="139">
        <f>P1111*M1111</f>
        <v>2544.48</v>
      </c>
      <c r="AG1111" s="47">
        <f t="shared" si="132"/>
        <v>0</v>
      </c>
    </row>
    <row r="1112" spans="6:33" ht="24" customHeight="1">
      <c r="H1112" s="42" t="s">
        <v>403</v>
      </c>
      <c r="I1112" s="26" t="s">
        <v>27</v>
      </c>
      <c r="K1112" s="39">
        <f>K1110/F1104</f>
        <v>2868.2389999999996</v>
      </c>
      <c r="M1112" s="170">
        <v>3.5400000000000001E-2</v>
      </c>
      <c r="N1112" s="171" t="s">
        <v>93</v>
      </c>
      <c r="O1112" s="139" t="s">
        <v>1416</v>
      </c>
      <c r="P1112" s="139">
        <f>P1090</f>
        <v>99400</v>
      </c>
      <c r="Q1112" s="172" t="s">
        <v>93</v>
      </c>
      <c r="R1112" s="139">
        <f t="shared" ref="R1112:R1121" si="137">P1112*M1112</f>
        <v>3518.76</v>
      </c>
      <c r="AG1112" s="47">
        <f t="shared" si="132"/>
        <v>0</v>
      </c>
    </row>
    <row r="1113" spans="6:33" ht="24" customHeight="1">
      <c r="F1113" s="26" t="s">
        <v>27</v>
      </c>
      <c r="M1113" s="173">
        <v>3.2300000000000002E-2</v>
      </c>
      <c r="N1113" s="171" t="s">
        <v>93</v>
      </c>
      <c r="O1113" s="139" t="s">
        <v>1417</v>
      </c>
      <c r="P1113" s="139">
        <f>P1091</f>
        <v>95000</v>
      </c>
      <c r="Q1113" s="172" t="s">
        <v>93</v>
      </c>
      <c r="R1113" s="139">
        <f t="shared" si="137"/>
        <v>3068.5</v>
      </c>
      <c r="AG1113" s="47">
        <f t="shared" si="132"/>
        <v>0</v>
      </c>
    </row>
    <row r="1114" spans="6:33" ht="24" customHeight="1">
      <c r="K1114" s="35" t="s">
        <v>41</v>
      </c>
      <c r="M1114" s="174">
        <v>2.835</v>
      </c>
      <c r="N1114" s="171" t="s">
        <v>438</v>
      </c>
      <c r="O1114" s="139" t="s">
        <v>1418</v>
      </c>
      <c r="P1114" s="139">
        <f t="shared" ref="P1114:P1120" si="138">P1093</f>
        <v>1617</v>
      </c>
      <c r="Q1114" s="172" t="s">
        <v>438</v>
      </c>
      <c r="R1114" s="139">
        <f t="shared" si="137"/>
        <v>4584.1949999999997</v>
      </c>
      <c r="AG1114" s="47">
        <f t="shared" si="132"/>
        <v>0</v>
      </c>
    </row>
    <row r="1115" spans="6:33" ht="24" customHeight="1">
      <c r="F1115" s="77">
        <v>22.3</v>
      </c>
      <c r="H1115" s="26" t="s">
        <v>1419</v>
      </c>
      <c r="L1115" s="26" t="s">
        <v>27</v>
      </c>
      <c r="M1115" s="139">
        <v>2</v>
      </c>
      <c r="N1115" s="171" t="s">
        <v>1420</v>
      </c>
      <c r="O1115" s="139" t="s">
        <v>1421</v>
      </c>
      <c r="P1115" s="139">
        <f t="shared" si="138"/>
        <v>50.9</v>
      </c>
      <c r="Q1115" s="172" t="s">
        <v>793</v>
      </c>
      <c r="R1115" s="139">
        <f t="shared" si="137"/>
        <v>101.8</v>
      </c>
      <c r="AG1115" s="47">
        <f t="shared" si="132"/>
        <v>0</v>
      </c>
    </row>
    <row r="1116" spans="6:33" ht="24" customHeight="1">
      <c r="H1116" s="35" t="s">
        <v>48</v>
      </c>
      <c r="I1116" s="35" t="s">
        <v>48</v>
      </c>
      <c r="J1116" s="26" t="s">
        <v>48</v>
      </c>
      <c r="M1116" s="139">
        <v>6</v>
      </c>
      <c r="N1116" s="171" t="s">
        <v>1420</v>
      </c>
      <c r="O1116" s="139" t="s">
        <v>1422</v>
      </c>
      <c r="P1116" s="139">
        <f t="shared" si="138"/>
        <v>79.099999999999994</v>
      </c>
      <c r="Q1116" s="172" t="s">
        <v>793</v>
      </c>
      <c r="R1116" s="139">
        <f t="shared" si="137"/>
        <v>474.59999999999997</v>
      </c>
      <c r="AG1116" s="47">
        <f t="shared" si="132"/>
        <v>0</v>
      </c>
    </row>
    <row r="1117" spans="6:33" ht="24" customHeight="1">
      <c r="M1117" s="139">
        <v>4</v>
      </c>
      <c r="N1117" s="171" t="s">
        <v>1420</v>
      </c>
      <c r="O1117" s="139" t="s">
        <v>1423</v>
      </c>
      <c r="P1117" s="139">
        <f t="shared" si="138"/>
        <v>57.2</v>
      </c>
      <c r="Q1117" s="172" t="s">
        <v>793</v>
      </c>
      <c r="R1117" s="139">
        <f t="shared" si="137"/>
        <v>228.8</v>
      </c>
      <c r="AG1117" s="47"/>
    </row>
    <row r="1118" spans="6:33" ht="24" customHeight="1">
      <c r="H1118" s="26" t="s">
        <v>1424</v>
      </c>
      <c r="M1118" s="139">
        <v>1</v>
      </c>
      <c r="N1118" s="171" t="s">
        <v>1420</v>
      </c>
      <c r="O1118" s="139" t="s">
        <v>1425</v>
      </c>
      <c r="P1118" s="139">
        <f t="shared" si="138"/>
        <v>159.69999999999999</v>
      </c>
      <c r="Q1118" s="172" t="s">
        <v>793</v>
      </c>
      <c r="R1118" s="139">
        <f t="shared" si="137"/>
        <v>159.69999999999999</v>
      </c>
      <c r="AG1118" s="47">
        <f t="shared" si="132"/>
        <v>0</v>
      </c>
    </row>
    <row r="1119" spans="6:33" ht="24" customHeight="1">
      <c r="H1119" s="26" t="s">
        <v>1426</v>
      </c>
      <c r="M1119" s="139">
        <v>2</v>
      </c>
      <c r="N1119" s="171" t="s">
        <v>1420</v>
      </c>
      <c r="O1119" s="139" t="s">
        <v>461</v>
      </c>
      <c r="P1119" s="139">
        <f t="shared" si="138"/>
        <v>7.3</v>
      </c>
      <c r="Q1119" s="172" t="s">
        <v>793</v>
      </c>
      <c r="R1119" s="139">
        <f t="shared" si="137"/>
        <v>14.6</v>
      </c>
      <c r="AG1119" s="47">
        <f t="shared" si="132"/>
        <v>0</v>
      </c>
    </row>
    <row r="1120" spans="6:33" ht="24" customHeight="1">
      <c r="H1120" s="26" t="s">
        <v>1427</v>
      </c>
      <c r="M1120" s="139">
        <v>2</v>
      </c>
      <c r="N1120" s="171" t="s">
        <v>1420</v>
      </c>
      <c r="O1120" s="139" t="s">
        <v>463</v>
      </c>
      <c r="P1120" s="139">
        <f t="shared" si="138"/>
        <v>43.8</v>
      </c>
      <c r="Q1120" s="172" t="s">
        <v>793</v>
      </c>
      <c r="R1120" s="139">
        <f t="shared" si="137"/>
        <v>87.6</v>
      </c>
      <c r="AG1120" s="47">
        <f t="shared" si="132"/>
        <v>0</v>
      </c>
    </row>
    <row r="1121" spans="6:64" ht="24" customHeight="1">
      <c r="H1121" s="26" t="s">
        <v>1428</v>
      </c>
      <c r="M1121" s="40">
        <v>118</v>
      </c>
      <c r="N1121" s="29"/>
      <c r="O1121" s="26" t="s">
        <v>1353</v>
      </c>
      <c r="P1121" s="40">
        <f>P1100</f>
        <v>2.37</v>
      </c>
      <c r="Q1121" s="31"/>
      <c r="R1121" s="40">
        <f t="shared" si="137"/>
        <v>279.66000000000003</v>
      </c>
      <c r="AG1121" s="47">
        <f t="shared" si="132"/>
        <v>0</v>
      </c>
    </row>
    <row r="1122" spans="6:64" ht="24" customHeight="1">
      <c r="H1122" s="26" t="s">
        <v>1429</v>
      </c>
      <c r="M1122" s="139"/>
      <c r="N1122" s="101"/>
      <c r="O1122" s="41" t="s">
        <v>403</v>
      </c>
      <c r="P1122" s="139"/>
      <c r="Q1122" s="172"/>
      <c r="R1122" s="41">
        <f>SUM(R1111:R1121)</f>
        <v>15062.695</v>
      </c>
      <c r="AG1122" s="47">
        <f t="shared" si="132"/>
        <v>0</v>
      </c>
    </row>
    <row r="1123" spans="6:64" ht="24" customHeight="1">
      <c r="J1123" s="26" t="s">
        <v>27</v>
      </c>
      <c r="K1123" s="106">
        <v>3.32E-2</v>
      </c>
      <c r="M1123" s="139"/>
      <c r="N1123" s="101"/>
      <c r="O1123" s="41"/>
      <c r="P1123" s="139"/>
      <c r="Q1123" s="172"/>
      <c r="R1123" s="175" t="s">
        <v>1430</v>
      </c>
      <c r="AG1123" s="47">
        <f t="shared" si="132"/>
        <v>0</v>
      </c>
      <c r="BL1123" s="28" t="s">
        <v>1431</v>
      </c>
    </row>
    <row r="1124" spans="6:64" ht="24" customHeight="1">
      <c r="H1124" s="26" t="s">
        <v>1432</v>
      </c>
      <c r="J1124" s="157" t="s">
        <v>27</v>
      </c>
      <c r="K1124" s="157" t="s">
        <v>27</v>
      </c>
      <c r="M1124" s="139"/>
      <c r="N1124" s="101"/>
      <c r="O1124" s="41" t="s">
        <v>1433</v>
      </c>
      <c r="P1124" s="139"/>
      <c r="Q1124" s="172"/>
      <c r="R1124" s="41">
        <f>R1122/2.835</f>
        <v>5313.1199294532626</v>
      </c>
      <c r="AG1124" s="47">
        <f t="shared" si="132"/>
        <v>0</v>
      </c>
    </row>
    <row r="1125" spans="6:64" ht="24" customHeight="1">
      <c r="H1125" s="26" t="s">
        <v>1434</v>
      </c>
      <c r="K1125" s="157" t="s">
        <v>27</v>
      </c>
      <c r="M1125" s="139"/>
      <c r="N1125" s="101"/>
      <c r="Q1125" s="31"/>
      <c r="R1125" s="80" t="s">
        <v>1430</v>
      </c>
      <c r="AG1125" s="47">
        <f t="shared" si="132"/>
        <v>0</v>
      </c>
    </row>
    <row r="1126" spans="6:64" ht="24" customHeight="1">
      <c r="AG1126" s="47">
        <f t="shared" si="132"/>
        <v>0</v>
      </c>
    </row>
    <row r="1127" spans="6:64" ht="24" customHeight="1">
      <c r="F1127" s="162">
        <v>1.18E-2</v>
      </c>
      <c r="G1127" s="38" t="s">
        <v>93</v>
      </c>
      <c r="H1127" s="26" t="s">
        <v>454</v>
      </c>
      <c r="I1127" s="40">
        <f>C88</f>
        <v>111600</v>
      </c>
      <c r="J1127" s="26" t="s">
        <v>93</v>
      </c>
      <c r="K1127" s="40">
        <f t="shared" ref="K1127:K1136" si="139">(F1127*I1127)</f>
        <v>1316.8799999999999</v>
      </c>
      <c r="AG1127" s="47">
        <f t="shared" si="132"/>
        <v>0</v>
      </c>
    </row>
    <row r="1128" spans="6:64" ht="24" customHeight="1">
      <c r="F1128" s="162">
        <v>3.32E-2</v>
      </c>
      <c r="G1128" s="38" t="s">
        <v>93</v>
      </c>
      <c r="H1128" s="26" t="s">
        <v>455</v>
      </c>
      <c r="I1128" s="40">
        <f>C89</f>
        <v>99400</v>
      </c>
      <c r="J1128" s="26" t="s">
        <v>93</v>
      </c>
      <c r="K1128" s="40">
        <f t="shared" si="139"/>
        <v>3300.08</v>
      </c>
      <c r="AG1128" s="47">
        <f t="shared" si="132"/>
        <v>0</v>
      </c>
    </row>
    <row r="1129" spans="6:64" ht="24" customHeight="1">
      <c r="F1129" s="162">
        <v>1.8550000000000001E-2</v>
      </c>
      <c r="G1129" s="38" t="s">
        <v>93</v>
      </c>
      <c r="H1129" s="26" t="s">
        <v>1435</v>
      </c>
      <c r="I1129" s="40">
        <f>C30</f>
        <v>14384.999999999998</v>
      </c>
      <c r="J1129" s="26" t="s">
        <v>93</v>
      </c>
      <c r="K1129" s="40">
        <f t="shared" si="139"/>
        <v>266.84174999999999</v>
      </c>
      <c r="AG1129" s="47">
        <f t="shared" si="132"/>
        <v>0</v>
      </c>
    </row>
    <row r="1130" spans="6:64" ht="24" customHeight="1">
      <c r="F1130" s="162">
        <v>1.46</v>
      </c>
      <c r="G1130" s="38" t="s">
        <v>438</v>
      </c>
      <c r="H1130" s="26" t="s">
        <v>1436</v>
      </c>
      <c r="I1130" s="176">
        <v>269.10000000000002</v>
      </c>
      <c r="J1130" s="26" t="s">
        <v>438</v>
      </c>
      <c r="K1130" s="40">
        <f t="shared" si="139"/>
        <v>392.88600000000002</v>
      </c>
      <c r="AG1130" s="47">
        <f t="shared" si="132"/>
        <v>0</v>
      </c>
    </row>
    <row r="1131" spans="6:64" ht="24" customHeight="1">
      <c r="F1131" s="162">
        <v>2.0499999999999998</v>
      </c>
      <c r="G1131" s="38" t="s">
        <v>438</v>
      </c>
      <c r="H1131" s="26" t="s">
        <v>1437</v>
      </c>
      <c r="I1131" s="40">
        <f>D30</f>
        <v>1348.1999999999998</v>
      </c>
      <c r="J1131" s="26" t="s">
        <v>438</v>
      </c>
      <c r="K1131" s="40">
        <f t="shared" si="139"/>
        <v>2763.8099999999995</v>
      </c>
      <c r="AG1131" s="47">
        <f t="shared" si="132"/>
        <v>0</v>
      </c>
    </row>
    <row r="1132" spans="6:64" ht="24" customHeight="1">
      <c r="F1132" s="40">
        <v>2</v>
      </c>
      <c r="G1132" s="38" t="s">
        <v>105</v>
      </c>
      <c r="H1132" s="26" t="s">
        <v>1438</v>
      </c>
      <c r="I1132" s="48">
        <f>C285</f>
        <v>35.1</v>
      </c>
      <c r="J1132" s="26" t="s">
        <v>105</v>
      </c>
      <c r="K1132" s="40">
        <f t="shared" si="139"/>
        <v>70.2</v>
      </c>
      <c r="AG1132" s="47">
        <f t="shared" si="132"/>
        <v>0</v>
      </c>
    </row>
    <row r="1133" spans="6:64" ht="24" customHeight="1">
      <c r="F1133" s="40">
        <v>6</v>
      </c>
      <c r="G1133" s="38" t="s">
        <v>105</v>
      </c>
      <c r="H1133" s="26" t="s">
        <v>1395</v>
      </c>
      <c r="I1133" s="40">
        <f>C282</f>
        <v>43.6</v>
      </c>
      <c r="J1133" s="26" t="s">
        <v>105</v>
      </c>
      <c r="K1133" s="40">
        <f t="shared" si="139"/>
        <v>261.60000000000002</v>
      </c>
      <c r="AG1133" s="47">
        <f t="shared" si="132"/>
        <v>0</v>
      </c>
    </row>
    <row r="1134" spans="6:64" ht="24" customHeight="1">
      <c r="F1134" s="40">
        <v>2</v>
      </c>
      <c r="G1134" s="38" t="s">
        <v>105</v>
      </c>
      <c r="H1134" s="26" t="s">
        <v>1439</v>
      </c>
      <c r="I1134" s="49">
        <v>53.8</v>
      </c>
      <c r="J1134" s="26" t="s">
        <v>105</v>
      </c>
      <c r="K1134" s="40">
        <f t="shared" si="139"/>
        <v>107.6</v>
      </c>
      <c r="AG1134" s="47">
        <f t="shared" si="132"/>
        <v>0</v>
      </c>
    </row>
    <row r="1135" spans="6:64" ht="24" customHeight="1">
      <c r="F1135" s="40">
        <v>1</v>
      </c>
      <c r="G1135" s="38" t="s">
        <v>105</v>
      </c>
      <c r="H1135" s="133" t="s">
        <v>1440</v>
      </c>
      <c r="I1135" s="133">
        <v>63.2</v>
      </c>
      <c r="J1135" s="26" t="s">
        <v>105</v>
      </c>
      <c r="K1135" s="40">
        <f t="shared" si="139"/>
        <v>63.2</v>
      </c>
      <c r="AG1135" s="47">
        <f t="shared" si="132"/>
        <v>0</v>
      </c>
    </row>
    <row r="1136" spans="6:64" ht="24" customHeight="1">
      <c r="F1136" s="40">
        <v>2.52</v>
      </c>
      <c r="G1136" s="38" t="s">
        <v>438</v>
      </c>
      <c r="H1136" s="26" t="s">
        <v>1441</v>
      </c>
      <c r="I1136" s="40">
        <f>K1167</f>
        <v>206.33800000000002</v>
      </c>
      <c r="J1136" s="26" t="s">
        <v>438</v>
      </c>
      <c r="K1136" s="40">
        <f t="shared" si="139"/>
        <v>519.97176000000002</v>
      </c>
      <c r="AG1136" s="47">
        <f t="shared" si="132"/>
        <v>0</v>
      </c>
    </row>
    <row r="1137" spans="6:33" ht="24" customHeight="1">
      <c r="H1137" s="26" t="s">
        <v>1442</v>
      </c>
      <c r="I1137" s="27" t="s">
        <v>106</v>
      </c>
      <c r="K1137" s="40">
        <v>0.21</v>
      </c>
      <c r="AG1137" s="47">
        <f t="shared" si="132"/>
        <v>0</v>
      </c>
    </row>
    <row r="1138" spans="6:33" ht="24" customHeight="1">
      <c r="K1138" s="35" t="s">
        <v>48</v>
      </c>
      <c r="AG1138" s="47">
        <f t="shared" si="132"/>
        <v>0</v>
      </c>
    </row>
    <row r="1139" spans="6:33" ht="24" customHeight="1">
      <c r="H1139" s="27" t="s">
        <v>1443</v>
      </c>
      <c r="K1139" s="40">
        <f>SUM(K1127:K1137)</f>
        <v>9063.2795100000003</v>
      </c>
      <c r="M1139" s="100" t="s">
        <v>1444</v>
      </c>
      <c r="N1139" s="100"/>
      <c r="O1139" s="100"/>
      <c r="P1139" s="100"/>
      <c r="Q1139" s="100"/>
      <c r="R1139" s="100"/>
      <c r="S1139" s="100"/>
      <c r="AG1139" s="47">
        <f t="shared" si="132"/>
        <v>0</v>
      </c>
    </row>
    <row r="1140" spans="6:33" ht="24" customHeight="1">
      <c r="G1140" s="38" t="s">
        <v>27</v>
      </c>
      <c r="K1140" s="35" t="s">
        <v>48</v>
      </c>
      <c r="O1140" s="35" t="s">
        <v>48</v>
      </c>
      <c r="Q1140" s="31"/>
      <c r="AG1140" s="47">
        <f t="shared" si="132"/>
        <v>0</v>
      </c>
    </row>
    <row r="1141" spans="6:33" ht="24" customHeight="1">
      <c r="H1141" s="42" t="s">
        <v>403</v>
      </c>
      <c r="K1141" s="39">
        <f>K1139/2.52</f>
        <v>3596.5394880952381</v>
      </c>
      <c r="N1141" s="32">
        <v>0.45300000000000001</v>
      </c>
      <c r="O1141" s="26" t="s">
        <v>1225</v>
      </c>
      <c r="P1141" s="40">
        <f>C73</f>
        <v>2923.8</v>
      </c>
      <c r="Q1141" s="26" t="s">
        <v>93</v>
      </c>
      <c r="R1141" s="40">
        <f>P1141*N1141</f>
        <v>1324.4814000000001</v>
      </c>
      <c r="AG1141" s="47">
        <f t="shared" ref="AG1141:AG1203" si="140">AI1141</f>
        <v>0</v>
      </c>
    </row>
    <row r="1142" spans="6:33" ht="24" customHeight="1">
      <c r="K1142" s="35" t="s">
        <v>41</v>
      </c>
      <c r="N1142" s="32">
        <v>0.30199999999999999</v>
      </c>
      <c r="O1142" s="26" t="s">
        <v>1445</v>
      </c>
      <c r="P1142" s="40">
        <f>C71</f>
        <v>2479.8000000000002</v>
      </c>
      <c r="Q1142" s="26" t="str">
        <f>Q1141</f>
        <v>CUM</v>
      </c>
      <c r="R1142" s="40">
        <f t="shared" ref="R1142:R1147" si="141">P1142*N1142</f>
        <v>748.89960000000008</v>
      </c>
      <c r="AG1142" s="47">
        <f t="shared" si="140"/>
        <v>0</v>
      </c>
    </row>
    <row r="1143" spans="6:33" ht="24" customHeight="1">
      <c r="G1143" s="38" t="s">
        <v>67</v>
      </c>
      <c r="H1143" s="26" t="s">
        <v>1446</v>
      </c>
      <c r="N1143" s="28">
        <v>0.44</v>
      </c>
      <c r="O1143" s="26" t="s">
        <v>94</v>
      </c>
      <c r="P1143" s="40">
        <f>C78</f>
        <v>2765.84</v>
      </c>
      <c r="Q1143" s="26" t="s">
        <v>93</v>
      </c>
      <c r="R1143" s="40">
        <f t="shared" si="141"/>
        <v>1216.9696000000001</v>
      </c>
      <c r="AG1143" s="47">
        <f t="shared" si="140"/>
        <v>0</v>
      </c>
    </row>
    <row r="1144" spans="6:33" ht="24" customHeight="1">
      <c r="H1144" s="35" t="s">
        <v>48</v>
      </c>
      <c r="I1144" s="35" t="s">
        <v>48</v>
      </c>
      <c r="N1144" s="28">
        <v>0.37</v>
      </c>
      <c r="O1144" s="26" t="s">
        <v>26</v>
      </c>
      <c r="P1144" s="40">
        <f>I808</f>
        <v>5800</v>
      </c>
      <c r="Q1144" s="26" t="s">
        <v>962</v>
      </c>
      <c r="R1144" s="40">
        <f t="shared" si="141"/>
        <v>2146</v>
      </c>
      <c r="AG1144" s="47">
        <f t="shared" si="140"/>
        <v>0</v>
      </c>
    </row>
    <row r="1145" spans="6:33" ht="24" customHeight="1">
      <c r="F1145" s="40">
        <v>0.77</v>
      </c>
      <c r="G1145" s="38" t="s">
        <v>1447</v>
      </c>
      <c r="H1145" s="26" t="s">
        <v>1448</v>
      </c>
      <c r="I1145" s="40">
        <f>C194</f>
        <v>266</v>
      </c>
      <c r="J1145" s="26" t="s">
        <v>1447</v>
      </c>
      <c r="K1145" s="40">
        <f>(F1145*I1145)</f>
        <v>204.82</v>
      </c>
      <c r="N1145" s="28">
        <v>0.35</v>
      </c>
      <c r="O1145" s="26" t="s">
        <v>970</v>
      </c>
      <c r="P1145" s="40">
        <f>C11</f>
        <v>1005.1999999999999</v>
      </c>
      <c r="Q1145" s="26" t="s">
        <v>105</v>
      </c>
      <c r="R1145" s="40">
        <f t="shared" si="141"/>
        <v>351.81999999999994</v>
      </c>
      <c r="AG1145" s="47">
        <f t="shared" si="140"/>
        <v>0</v>
      </c>
    </row>
    <row r="1146" spans="6:33" ht="24" customHeight="1">
      <c r="F1146" s="40">
        <v>0.61</v>
      </c>
      <c r="G1146" s="38" t="s">
        <v>1447</v>
      </c>
      <c r="H1146" s="26" t="s">
        <v>1449</v>
      </c>
      <c r="I1146" s="40">
        <f>C193</f>
        <v>25</v>
      </c>
      <c r="J1146" s="26" t="s">
        <v>1447</v>
      </c>
      <c r="K1146" s="40">
        <f>(F1146*I1146)</f>
        <v>15.25</v>
      </c>
      <c r="N1146" s="28">
        <v>2.12</v>
      </c>
      <c r="O1146" s="26" t="s">
        <v>1450</v>
      </c>
      <c r="P1146" s="40">
        <f>C12</f>
        <v>702.8</v>
      </c>
      <c r="Q1146" s="26" t="s">
        <v>105</v>
      </c>
      <c r="R1146" s="40">
        <f t="shared" si="141"/>
        <v>1489.9359999999999</v>
      </c>
      <c r="AG1146" s="47">
        <f t="shared" si="140"/>
        <v>0</v>
      </c>
    </row>
    <row r="1147" spans="6:33" ht="24" customHeight="1">
      <c r="F1147" s="40">
        <v>0.7</v>
      </c>
      <c r="G1147" s="38" t="s">
        <v>791</v>
      </c>
      <c r="H1147" s="26" t="s">
        <v>114</v>
      </c>
      <c r="I1147" s="40">
        <f>C14</f>
        <v>861</v>
      </c>
      <c r="J1147" s="26" t="s">
        <v>1083</v>
      </c>
      <c r="K1147" s="40">
        <f>(F1147*I1147)</f>
        <v>602.69999999999993</v>
      </c>
      <c r="N1147" s="28">
        <v>3.53</v>
      </c>
      <c r="O1147" s="26" t="s">
        <v>1451</v>
      </c>
      <c r="P1147" s="40">
        <f>C13</f>
        <v>576.79999999999995</v>
      </c>
      <c r="Q1147" s="26" t="s">
        <v>105</v>
      </c>
      <c r="R1147" s="40">
        <f t="shared" si="141"/>
        <v>2036.1039999999998</v>
      </c>
      <c r="AG1147" s="47">
        <f t="shared" si="140"/>
        <v>0</v>
      </c>
    </row>
    <row r="1148" spans="6:33" ht="24" customHeight="1">
      <c r="F1148" s="40"/>
      <c r="G1148" s="38"/>
      <c r="H1148" s="26"/>
      <c r="I1148" s="40"/>
      <c r="J1148" s="26"/>
      <c r="K1148" s="40"/>
      <c r="O1148" s="26" t="s">
        <v>523</v>
      </c>
      <c r="P1148" s="40"/>
      <c r="Q1148" s="31"/>
      <c r="R1148" s="138">
        <f>K819</f>
        <v>98.98</v>
      </c>
      <c r="AG1148" s="47"/>
    </row>
    <row r="1149" spans="6:33" ht="24" customHeight="1">
      <c r="F1149" s="40">
        <v>0.7</v>
      </c>
      <c r="G1149" s="38" t="s">
        <v>791</v>
      </c>
      <c r="H1149" s="26" t="s">
        <v>103</v>
      </c>
      <c r="I1149" s="40">
        <f>C12</f>
        <v>702.8</v>
      </c>
      <c r="J1149" s="26" t="s">
        <v>1083</v>
      </c>
      <c r="K1149" s="40">
        <f>(F1149*I1149)</f>
        <v>491.95999999999992</v>
      </c>
      <c r="M1149" s="144" t="s">
        <v>363</v>
      </c>
      <c r="O1149" s="28" t="s">
        <v>1230</v>
      </c>
      <c r="P1149" s="117">
        <f>V1134</f>
        <v>0</v>
      </c>
      <c r="R1149" s="28">
        <v>270</v>
      </c>
      <c r="AG1149" s="47">
        <f t="shared" si="140"/>
        <v>0</v>
      </c>
    </row>
    <row r="1150" spans="6:33" ht="43.5" customHeight="1">
      <c r="G1150" s="38" t="s">
        <v>106</v>
      </c>
      <c r="H1150" s="26" t="s">
        <v>1452</v>
      </c>
      <c r="J1150" s="26" t="s">
        <v>106</v>
      </c>
      <c r="K1150" s="40">
        <v>1.5</v>
      </c>
      <c r="M1150" s="144" t="s">
        <v>363</v>
      </c>
      <c r="O1150" s="28" t="s">
        <v>1233</v>
      </c>
      <c r="P1150" s="117">
        <f>V1135</f>
        <v>0</v>
      </c>
      <c r="R1150" s="28">
        <v>150</v>
      </c>
      <c r="AG1150" s="47">
        <f t="shared" si="140"/>
        <v>0</v>
      </c>
    </row>
    <row r="1151" spans="6:33" ht="24" customHeight="1">
      <c r="K1151" s="35" t="s">
        <v>48</v>
      </c>
      <c r="M1151" s="144" t="s">
        <v>363</v>
      </c>
      <c r="O1151" s="28" t="s">
        <v>1236</v>
      </c>
      <c r="P1151" s="117">
        <f>V1136</f>
        <v>0</v>
      </c>
      <c r="R1151" s="28">
        <v>0.35</v>
      </c>
      <c r="AG1151" s="47">
        <f t="shared" si="140"/>
        <v>0</v>
      </c>
    </row>
    <row r="1152" spans="6:33" ht="24" customHeight="1">
      <c r="H1152" s="27" t="s">
        <v>1453</v>
      </c>
      <c r="K1152" s="40">
        <f>SUM(K1145:K1150)</f>
        <v>1316.23</v>
      </c>
      <c r="Q1152" s="31"/>
      <c r="R1152" s="28">
        <f>SUM(R1141:R1151)</f>
        <v>9833.5406000000003</v>
      </c>
      <c r="AG1152" s="47">
        <f t="shared" si="140"/>
        <v>0</v>
      </c>
    </row>
    <row r="1153" spans="6:33" ht="24" customHeight="1">
      <c r="K1153" s="35" t="s">
        <v>48</v>
      </c>
      <c r="X1153" s="41">
        <f>SUM(X1141:X1152)</f>
        <v>0</v>
      </c>
      <c r="Y1153" s="41"/>
      <c r="AG1153" s="47">
        <f t="shared" si="140"/>
        <v>0</v>
      </c>
    </row>
    <row r="1154" spans="6:33" ht="24" customHeight="1">
      <c r="H1154" s="42" t="s">
        <v>403</v>
      </c>
      <c r="K1154" s="39">
        <f>(K1152/10)</f>
        <v>131.62299999999999</v>
      </c>
      <c r="AG1154" s="47">
        <f t="shared" si="140"/>
        <v>0</v>
      </c>
    </row>
    <row r="1155" spans="6:33" ht="24" customHeight="1">
      <c r="K1155" s="35" t="s">
        <v>41</v>
      </c>
      <c r="Q1155" s="31"/>
      <c r="R1155" s="138"/>
      <c r="AG1155" s="47">
        <f t="shared" si="140"/>
        <v>0</v>
      </c>
    </row>
    <row r="1156" spans="6:33" ht="24" customHeight="1">
      <c r="O1156" s="28" t="s">
        <v>1454</v>
      </c>
      <c r="Q1156" s="31"/>
      <c r="R1156" s="40">
        <f>SUM(R1152:R1155)</f>
        <v>9833.5406000000003</v>
      </c>
      <c r="AG1156" s="47">
        <f t="shared" si="140"/>
        <v>0</v>
      </c>
    </row>
    <row r="1157" spans="6:33" ht="24" customHeight="1">
      <c r="F1157" s="26" t="s">
        <v>27</v>
      </c>
      <c r="G1157" s="38" t="s">
        <v>67</v>
      </c>
      <c r="H1157" s="26" t="s">
        <v>1455</v>
      </c>
      <c r="Q1157" s="31"/>
      <c r="R1157" s="35" t="s">
        <v>48</v>
      </c>
      <c r="AG1157" s="47">
        <f t="shared" si="140"/>
        <v>0</v>
      </c>
    </row>
    <row r="1158" spans="6:33" ht="24" customHeight="1">
      <c r="H1158" s="35" t="s">
        <v>48</v>
      </c>
      <c r="I1158" s="35" t="s">
        <v>48</v>
      </c>
      <c r="O1158" s="26" t="s">
        <v>309</v>
      </c>
      <c r="Q1158" s="31"/>
      <c r="R1158" s="39">
        <f>R1156+C22</f>
        <v>9959.4006000000008</v>
      </c>
      <c r="S1158" s="32">
        <f>C22</f>
        <v>125.86</v>
      </c>
      <c r="T1158" s="32">
        <f>C23</f>
        <v>247.79999999999998</v>
      </c>
      <c r="AG1158" s="47">
        <f t="shared" si="140"/>
        <v>0</v>
      </c>
    </row>
    <row r="1159" spans="6:33" ht="24" customHeight="1">
      <c r="F1159" s="40">
        <v>1.2</v>
      </c>
      <c r="G1159" s="38" t="s">
        <v>1447</v>
      </c>
      <c r="H1159" s="26" t="s">
        <v>1456</v>
      </c>
      <c r="I1159" s="40">
        <f>C194</f>
        <v>266</v>
      </c>
      <c r="J1159" s="26" t="s">
        <v>1447</v>
      </c>
      <c r="K1159" s="40">
        <f>(F1159*I1159)</f>
        <v>319.2</v>
      </c>
      <c r="O1159" s="26" t="s">
        <v>313</v>
      </c>
      <c r="Q1159" s="31"/>
      <c r="R1159" s="39">
        <f>R1158+C23</f>
        <v>10207.2006</v>
      </c>
      <c r="S1159" s="32">
        <f>R1156-5363.9</f>
        <v>4469.6406000000006</v>
      </c>
      <c r="AG1159" s="47">
        <f t="shared" si="140"/>
        <v>0</v>
      </c>
    </row>
    <row r="1160" spans="6:33" ht="24" customHeight="1">
      <c r="F1160" s="40">
        <v>0.9</v>
      </c>
      <c r="G1160" s="38" t="s">
        <v>1447</v>
      </c>
      <c r="H1160" s="26" t="s">
        <v>1449</v>
      </c>
      <c r="I1160" s="40">
        <f>C193</f>
        <v>25</v>
      </c>
      <c r="J1160" s="26" t="s">
        <v>1447</v>
      </c>
      <c r="K1160" s="40">
        <f>(F1160*I1160)</f>
        <v>22.5</v>
      </c>
      <c r="O1160" s="26" t="s">
        <v>316</v>
      </c>
      <c r="Q1160" s="31"/>
      <c r="R1160" s="39">
        <f>R1159+C23</f>
        <v>10455.000599999999</v>
      </c>
      <c r="AG1160" s="47">
        <f t="shared" si="140"/>
        <v>0</v>
      </c>
    </row>
    <row r="1161" spans="6:33" ht="24" customHeight="1">
      <c r="F1161" s="40">
        <v>1.1000000000000001</v>
      </c>
      <c r="G1161" s="38" t="s">
        <v>791</v>
      </c>
      <c r="H1161" s="26" t="s">
        <v>114</v>
      </c>
      <c r="I1161" s="40">
        <f>C14</f>
        <v>861</v>
      </c>
      <c r="J1161" s="26" t="s">
        <v>1083</v>
      </c>
      <c r="K1161" s="40">
        <f>(F1161*I1161)</f>
        <v>947.1</v>
      </c>
      <c r="O1161" s="26" t="s">
        <v>318</v>
      </c>
      <c r="Q1161" s="31"/>
      <c r="R1161" s="39">
        <f>R1160+C23</f>
        <v>10702.800599999999</v>
      </c>
      <c r="AG1161" s="47">
        <f t="shared" si="140"/>
        <v>0</v>
      </c>
    </row>
    <row r="1162" spans="6:33" ht="24" customHeight="1">
      <c r="F1162" s="40">
        <v>1.1000000000000001</v>
      </c>
      <c r="G1162" s="38" t="s">
        <v>791</v>
      </c>
      <c r="H1162" s="26" t="s">
        <v>103</v>
      </c>
      <c r="I1162" s="40">
        <f>C12</f>
        <v>702.8</v>
      </c>
      <c r="J1162" s="26" t="s">
        <v>1083</v>
      </c>
      <c r="K1162" s="40">
        <f>(F1162*I1162)</f>
        <v>773.08</v>
      </c>
      <c r="O1162" s="26" t="s">
        <v>407</v>
      </c>
      <c r="Q1162" s="31"/>
      <c r="R1162" s="39">
        <f>R1161+C23</f>
        <v>10950.600599999998</v>
      </c>
      <c r="AG1162" s="47">
        <f t="shared" si="140"/>
        <v>0</v>
      </c>
    </row>
    <row r="1163" spans="6:33" ht="24" customHeight="1">
      <c r="G1163" s="38" t="s">
        <v>106</v>
      </c>
      <c r="H1163" s="26" t="s">
        <v>1452</v>
      </c>
      <c r="J1163" s="26" t="s">
        <v>106</v>
      </c>
      <c r="K1163" s="40">
        <v>1.5</v>
      </c>
      <c r="O1163" s="26" t="s">
        <v>632</v>
      </c>
      <c r="R1163" s="39">
        <f>R1162+C23</f>
        <v>11198.400599999997</v>
      </c>
      <c r="AG1163" s="47">
        <f t="shared" si="140"/>
        <v>0</v>
      </c>
    </row>
    <row r="1164" spans="6:33" ht="24" customHeight="1">
      <c r="K1164" s="35" t="s">
        <v>48</v>
      </c>
      <c r="O1164" s="26" t="s">
        <v>633</v>
      </c>
      <c r="R1164" s="39">
        <f>R1163+C23</f>
        <v>11446.200599999996</v>
      </c>
      <c r="AG1164" s="47">
        <f t="shared" si="140"/>
        <v>0</v>
      </c>
    </row>
    <row r="1165" spans="6:33" ht="24" customHeight="1">
      <c r="H1165" s="27" t="s">
        <v>1453</v>
      </c>
      <c r="K1165" s="40">
        <f>SUM(K1159:K1163)</f>
        <v>2063.38</v>
      </c>
      <c r="O1165" s="26" t="s">
        <v>634</v>
      </c>
      <c r="R1165" s="39">
        <f>R1164+C23</f>
        <v>11694.000599999996</v>
      </c>
      <c r="AG1165" s="47">
        <f t="shared" si="140"/>
        <v>0</v>
      </c>
    </row>
    <row r="1166" spans="6:33" ht="24" customHeight="1">
      <c r="K1166" s="35" t="s">
        <v>48</v>
      </c>
      <c r="O1166" s="26" t="s">
        <v>820</v>
      </c>
      <c r="R1166" s="39">
        <f>R1165+C23</f>
        <v>11941.800599999995</v>
      </c>
      <c r="AG1166" s="47">
        <f t="shared" si="140"/>
        <v>0</v>
      </c>
    </row>
    <row r="1167" spans="6:33" ht="24" customHeight="1">
      <c r="H1167" s="42" t="s">
        <v>403</v>
      </c>
      <c r="K1167" s="39">
        <f>(K1165/10)</f>
        <v>206.33800000000002</v>
      </c>
      <c r="O1167" s="26" t="s">
        <v>636</v>
      </c>
      <c r="R1167" s="39">
        <f>R1166+C23</f>
        <v>12189.600599999994</v>
      </c>
      <c r="AG1167" s="47">
        <f t="shared" si="140"/>
        <v>0</v>
      </c>
    </row>
    <row r="1168" spans="6:33" ht="24" customHeight="1">
      <c r="K1168" s="35" t="s">
        <v>41</v>
      </c>
      <c r="O1168" s="28" t="s">
        <v>1457</v>
      </c>
      <c r="R1168" s="39">
        <f>R1167+C23</f>
        <v>12437.400599999994</v>
      </c>
      <c r="AG1168" s="47">
        <f t="shared" si="140"/>
        <v>0</v>
      </c>
    </row>
    <row r="1169" spans="6:35" ht="24" customHeight="1">
      <c r="R1169" s="39">
        <f>R1168+C23</f>
        <v>12685.200599999993</v>
      </c>
      <c r="AG1169" s="47">
        <f t="shared" si="140"/>
        <v>0</v>
      </c>
    </row>
    <row r="1170" spans="6:35" ht="24" customHeight="1">
      <c r="F1170" s="132">
        <v>23.3</v>
      </c>
      <c r="H1170" s="112" t="s">
        <v>1458</v>
      </c>
      <c r="I1170" s="112" t="s">
        <v>311</v>
      </c>
      <c r="K1170" s="177">
        <v>52</v>
      </c>
      <c r="R1170" s="39">
        <f>R1169+C23</f>
        <v>12933.000599999992</v>
      </c>
      <c r="S1170" s="28"/>
      <c r="AG1170" s="47">
        <f t="shared" si="140"/>
        <v>0</v>
      </c>
    </row>
    <row r="1171" spans="6:35" ht="24" customHeight="1">
      <c r="M1171" s="32"/>
      <c r="O1171" s="41" t="s">
        <v>1206</v>
      </c>
      <c r="R1171" s="39">
        <f>R1170+C23</f>
        <v>13180.800599999991</v>
      </c>
      <c r="S1171" s="28"/>
      <c r="AG1171" s="47">
        <f t="shared" si="140"/>
        <v>0</v>
      </c>
    </row>
    <row r="1172" spans="6:35" ht="24" customHeight="1">
      <c r="M1172" s="32">
        <v>0.443</v>
      </c>
      <c r="N1172" s="28" t="s">
        <v>475</v>
      </c>
      <c r="O1172" s="28" t="s">
        <v>1209</v>
      </c>
      <c r="P1172" s="28">
        <f t="shared" ref="P1172:P1178" si="142">P1141</f>
        <v>2923.8</v>
      </c>
      <c r="R1172" s="28">
        <f>P1172*M1172</f>
        <v>1295.2434000000001</v>
      </c>
      <c r="S1172" s="28"/>
      <c r="AG1172" s="47">
        <f t="shared" si="140"/>
        <v>0</v>
      </c>
    </row>
    <row r="1173" spans="6:35" ht="24" customHeight="1">
      <c r="F1173" s="27" t="s">
        <v>1459</v>
      </c>
      <c r="G1173" s="38" t="s">
        <v>67</v>
      </c>
      <c r="H1173" s="26" t="s">
        <v>1460</v>
      </c>
      <c r="M1173" s="32">
        <v>0.29499999999999998</v>
      </c>
      <c r="N1173" s="28" t="s">
        <v>475</v>
      </c>
      <c r="O1173" s="28" t="s">
        <v>1212</v>
      </c>
      <c r="P1173" s="28">
        <f t="shared" si="142"/>
        <v>2479.8000000000002</v>
      </c>
      <c r="R1173" s="28">
        <f t="shared" ref="R1173:R1179" si="143">P1173*M1173</f>
        <v>731.54100000000005</v>
      </c>
      <c r="S1173" s="28"/>
      <c r="AG1173" s="47">
        <f t="shared" si="140"/>
        <v>0</v>
      </c>
    </row>
    <row r="1174" spans="6:35" ht="24" customHeight="1">
      <c r="H1174" s="26" t="s">
        <v>1461</v>
      </c>
      <c r="M1174" s="32">
        <v>0.43</v>
      </c>
      <c r="N1174" s="28" t="s">
        <v>475</v>
      </c>
      <c r="O1174" s="28" t="s">
        <v>17</v>
      </c>
      <c r="P1174" s="28">
        <f t="shared" si="142"/>
        <v>2765.84</v>
      </c>
      <c r="R1174" s="28">
        <f t="shared" si="143"/>
        <v>1189.3112000000001</v>
      </c>
      <c r="S1174" s="28"/>
      <c r="AG1174" s="47">
        <f t="shared" si="140"/>
        <v>0</v>
      </c>
    </row>
    <row r="1175" spans="6:35" ht="24" customHeight="1">
      <c r="H1175" s="35" t="s">
        <v>48</v>
      </c>
      <c r="I1175" s="35" t="s">
        <v>48</v>
      </c>
      <c r="M1175" s="32">
        <v>0.39</v>
      </c>
      <c r="N1175" s="28" t="s">
        <v>962</v>
      </c>
      <c r="O1175" s="28" t="s">
        <v>26</v>
      </c>
      <c r="P1175" s="28">
        <f t="shared" si="142"/>
        <v>5800</v>
      </c>
      <c r="R1175" s="28">
        <f t="shared" si="143"/>
        <v>2262</v>
      </c>
      <c r="S1175" s="28"/>
      <c r="AG1175" s="47">
        <f t="shared" si="140"/>
        <v>0</v>
      </c>
    </row>
    <row r="1176" spans="6:35" ht="24" customHeight="1">
      <c r="F1176" s="107">
        <v>0.53339999999999999</v>
      </c>
      <c r="G1176" s="38" t="s">
        <v>788</v>
      </c>
      <c r="H1176" s="96" t="s">
        <v>1462</v>
      </c>
      <c r="I1176" s="73">
        <v>208.8</v>
      </c>
      <c r="J1176" s="26" t="s">
        <v>788</v>
      </c>
      <c r="K1176" s="40">
        <f>(F1176*I1176)</f>
        <v>111.37392</v>
      </c>
      <c r="M1176" s="32">
        <v>0.35</v>
      </c>
      <c r="N1176" s="28" t="s">
        <v>969</v>
      </c>
      <c r="O1176" s="28" t="s">
        <v>970</v>
      </c>
      <c r="P1176" s="28">
        <f t="shared" si="142"/>
        <v>1005.1999999999999</v>
      </c>
      <c r="Q1176" s="28">
        <f>D1174</f>
        <v>0</v>
      </c>
      <c r="R1176" s="28">
        <f t="shared" si="143"/>
        <v>351.81999999999994</v>
      </c>
      <c r="S1176" s="28"/>
      <c r="AG1176" s="47">
        <f t="shared" si="140"/>
        <v>0</v>
      </c>
    </row>
    <row r="1177" spans="6:35" ht="24" customHeight="1">
      <c r="F1177" s="40">
        <v>4.24</v>
      </c>
      <c r="G1177" s="38" t="s">
        <v>1125</v>
      </c>
      <c r="H1177" s="178" t="s">
        <v>1463</v>
      </c>
      <c r="I1177" s="73">
        <v>35.61</v>
      </c>
      <c r="J1177" s="26" t="s">
        <v>1125</v>
      </c>
      <c r="K1177" s="40">
        <f>(F1177*I1177)</f>
        <v>150.9864</v>
      </c>
      <c r="M1177" s="32">
        <v>2.12</v>
      </c>
      <c r="N1177" s="28" t="s">
        <v>969</v>
      </c>
      <c r="O1177" s="28" t="s">
        <v>973</v>
      </c>
      <c r="P1177" s="28">
        <f t="shared" si="142"/>
        <v>702.8</v>
      </c>
      <c r="R1177" s="28">
        <f t="shared" si="143"/>
        <v>1489.9359999999999</v>
      </c>
      <c r="S1177" s="28"/>
      <c r="AG1177" s="47">
        <f t="shared" si="140"/>
        <v>0</v>
      </c>
    </row>
    <row r="1178" spans="6:35" ht="24" customHeight="1">
      <c r="F1178" s="40">
        <v>16</v>
      </c>
      <c r="G1178" s="38" t="s">
        <v>791</v>
      </c>
      <c r="H1178" s="178" t="s">
        <v>1464</v>
      </c>
      <c r="I1178" s="73">
        <v>1</v>
      </c>
      <c r="J1178" s="26" t="s">
        <v>793</v>
      </c>
      <c r="K1178" s="40">
        <f>(F1178*I1178)</f>
        <v>16</v>
      </c>
      <c r="M1178" s="32">
        <v>3.53</v>
      </c>
      <c r="N1178" s="28" t="s">
        <v>969</v>
      </c>
      <c r="O1178" s="28" t="s">
        <v>977</v>
      </c>
      <c r="P1178" s="28">
        <f t="shared" si="142"/>
        <v>576.79999999999995</v>
      </c>
      <c r="R1178" s="28">
        <f t="shared" si="143"/>
        <v>2036.1039999999998</v>
      </c>
      <c r="S1178" s="28"/>
      <c r="AG1178" s="47">
        <f t="shared" si="140"/>
        <v>0</v>
      </c>
    </row>
    <row r="1179" spans="6:35" ht="24" customHeight="1">
      <c r="F1179" s="107">
        <v>0.53339999999999999</v>
      </c>
      <c r="G1179" s="38" t="s">
        <v>788</v>
      </c>
      <c r="H1179" s="26" t="s">
        <v>1465</v>
      </c>
      <c r="I1179" s="40">
        <f>0.25/1.08*D16</f>
        <v>232.68518518518513</v>
      </c>
      <c r="J1179" s="26" t="s">
        <v>788</v>
      </c>
      <c r="K1179" s="40">
        <f>(F1179*I1179)</f>
        <v>124.11427777777774</v>
      </c>
      <c r="M1179" s="32">
        <v>1</v>
      </c>
      <c r="N1179" s="28" t="s">
        <v>475</v>
      </c>
      <c r="O1179" s="28" t="s">
        <v>1227</v>
      </c>
      <c r="P1179" s="28">
        <f>R1148</f>
        <v>98.98</v>
      </c>
      <c r="R1179" s="28">
        <f t="shared" si="143"/>
        <v>98.98</v>
      </c>
      <c r="S1179" s="28"/>
      <c r="AG1179" s="47">
        <f t="shared" si="140"/>
        <v>0</v>
      </c>
    </row>
    <row r="1180" spans="6:35" ht="24" customHeight="1">
      <c r="G1180" s="38" t="s">
        <v>106</v>
      </c>
      <c r="H1180" s="26" t="s">
        <v>1236</v>
      </c>
      <c r="J1180" s="26" t="s">
        <v>106</v>
      </c>
      <c r="K1180" s="40"/>
      <c r="M1180" s="144" t="s">
        <v>363</v>
      </c>
      <c r="O1180" s="28" t="s">
        <v>1230</v>
      </c>
      <c r="P1180" s="144" t="s">
        <v>363</v>
      </c>
      <c r="R1180" s="28">
        <v>270</v>
      </c>
      <c r="S1180" s="28"/>
      <c r="AG1180" s="47">
        <f t="shared" si="140"/>
        <v>0</v>
      </c>
    </row>
    <row r="1181" spans="6:35" ht="24" customHeight="1">
      <c r="H1181" s="26" t="s">
        <v>1466</v>
      </c>
      <c r="M1181" s="144" t="s">
        <v>363</v>
      </c>
      <c r="O1181" s="28" t="s">
        <v>1233</v>
      </c>
      <c r="P1181" s="144" t="s">
        <v>363</v>
      </c>
      <c r="R1181" s="28">
        <v>150</v>
      </c>
      <c r="S1181" s="28"/>
      <c r="AG1181" s="47">
        <f t="shared" si="140"/>
        <v>0</v>
      </c>
    </row>
    <row r="1182" spans="6:35" ht="24" customHeight="1">
      <c r="K1182" s="35" t="s">
        <v>48</v>
      </c>
      <c r="M1182" s="144" t="s">
        <v>363</v>
      </c>
      <c r="O1182" s="28" t="s">
        <v>1236</v>
      </c>
      <c r="P1182" s="144" t="s">
        <v>363</v>
      </c>
      <c r="R1182" s="28">
        <v>0.45</v>
      </c>
      <c r="S1182" s="28">
        <f>C22</f>
        <v>125.86</v>
      </c>
      <c r="T1182" s="28">
        <f>C23</f>
        <v>247.79999999999998</v>
      </c>
      <c r="AG1182" s="47" t="str">
        <f t="shared" si="140"/>
        <v>|</v>
      </c>
      <c r="AI1182" s="26" t="s">
        <v>685</v>
      </c>
    </row>
    <row r="1183" spans="6:35" ht="24" customHeight="1">
      <c r="H1183" s="27" t="s">
        <v>1467</v>
      </c>
      <c r="K1183" s="40">
        <f>SUM(K1176:K1180)</f>
        <v>402.47459777777772</v>
      </c>
      <c r="M1183" s="32"/>
      <c r="O1183" s="28" t="s">
        <v>926</v>
      </c>
      <c r="R1183" s="41">
        <f>SUM(R1172:R1182)</f>
        <v>9875.3855999999996</v>
      </c>
      <c r="S1183" s="28"/>
      <c r="AG1183" s="47" t="str">
        <f t="shared" si="140"/>
        <v>|</v>
      </c>
      <c r="AI1183" s="26" t="s">
        <v>685</v>
      </c>
    </row>
    <row r="1184" spans="6:35" ht="24" customHeight="1">
      <c r="K1184" s="35" t="s">
        <v>48</v>
      </c>
      <c r="M1184" s="32"/>
      <c r="O1184" s="28" t="s">
        <v>309</v>
      </c>
      <c r="R1184" s="28">
        <f>R1183+C22</f>
        <v>10001.2456</v>
      </c>
      <c r="AG1184" s="47" t="str">
        <f t="shared" si="140"/>
        <v>|</v>
      </c>
      <c r="AI1184" s="26" t="s">
        <v>685</v>
      </c>
    </row>
    <row r="1185" spans="6:39" ht="24" customHeight="1">
      <c r="H1185" s="27" t="s">
        <v>1468</v>
      </c>
      <c r="K1185" s="39">
        <f>ROUND(K1183/0.5334,1)+0.1</f>
        <v>754.6</v>
      </c>
      <c r="R1185" s="28">
        <f>R1184+T1182</f>
        <v>10249.045599999999</v>
      </c>
      <c r="AG1185" s="47" t="str">
        <f t="shared" si="140"/>
        <v>|</v>
      </c>
      <c r="AI1185" s="26" t="s">
        <v>685</v>
      </c>
    </row>
    <row r="1186" spans="6:39" ht="24" customHeight="1">
      <c r="F1186" s="26" t="s">
        <v>27</v>
      </c>
      <c r="K1186" s="35" t="s">
        <v>41</v>
      </c>
      <c r="Z1186" s="132">
        <v>15.1</v>
      </c>
      <c r="AA1186" s="38" t="s">
        <v>850</v>
      </c>
      <c r="AB1186" s="38"/>
      <c r="AC1186" s="30" t="s">
        <v>1469</v>
      </c>
      <c r="AE1186" s="33"/>
      <c r="AG1186" s="47" t="str">
        <f t="shared" si="140"/>
        <v>C.</v>
      </c>
      <c r="AH1186" s="132">
        <v>15.1</v>
      </c>
      <c r="AI1186" s="38" t="s">
        <v>850</v>
      </c>
      <c r="AJ1186" s="179" t="s">
        <v>1470</v>
      </c>
      <c r="AL1186" s="33"/>
    </row>
    <row r="1187" spans="6:39" ht="24" customHeight="1">
      <c r="F1187" s="26" t="s">
        <v>27</v>
      </c>
      <c r="G1187" s="38" t="s">
        <v>27</v>
      </c>
      <c r="H1187" s="26" t="s">
        <v>27</v>
      </c>
      <c r="AA1187" s="29"/>
      <c r="AB1187" s="29"/>
      <c r="AC1187" s="26" t="s">
        <v>786</v>
      </c>
      <c r="AE1187" s="33"/>
      <c r="AG1187" s="47">
        <f t="shared" si="140"/>
        <v>0</v>
      </c>
      <c r="AI1187" s="29"/>
      <c r="AJ1187" s="26" t="s">
        <v>786</v>
      </c>
      <c r="AL1187" s="33"/>
    </row>
    <row r="1188" spans="6:39" ht="53.25" customHeight="1">
      <c r="F1188" s="27" t="s">
        <v>210</v>
      </c>
      <c r="G1188" s="38" t="s">
        <v>67</v>
      </c>
      <c r="H1188" s="26" t="s">
        <v>1471</v>
      </c>
      <c r="Z1188" s="40">
        <v>10</v>
      </c>
      <c r="AA1188" s="38" t="s">
        <v>788</v>
      </c>
      <c r="AB1188" s="38"/>
      <c r="AC1188" s="88" t="s">
        <v>1472</v>
      </c>
      <c r="AD1188" s="49">
        <v>1706</v>
      </c>
      <c r="AE1188" s="27" t="s">
        <v>788</v>
      </c>
      <c r="AF1188" s="40">
        <f>(Z1188*AD1188)</f>
        <v>17060</v>
      </c>
      <c r="AG1188" s="47" t="str">
        <f t="shared" si="140"/>
        <v>Sqm</v>
      </c>
      <c r="AH1188" s="40">
        <v>10</v>
      </c>
      <c r="AI1188" s="38" t="s">
        <v>788</v>
      </c>
      <c r="AJ1188" s="88" t="s">
        <v>1473</v>
      </c>
      <c r="AK1188" s="49">
        <v>804</v>
      </c>
      <c r="AL1188" s="27" t="s">
        <v>788</v>
      </c>
      <c r="AM1188" s="40">
        <f>(AH1188*AK1188)</f>
        <v>8040</v>
      </c>
    </row>
    <row r="1189" spans="6:39" ht="24" customHeight="1">
      <c r="H1189" s="26" t="s">
        <v>1474</v>
      </c>
      <c r="Z1189" s="40">
        <v>0.12</v>
      </c>
      <c r="AA1189" s="38" t="s">
        <v>93</v>
      </c>
      <c r="AB1189" s="38"/>
      <c r="AC1189" s="26" t="s">
        <v>857</v>
      </c>
      <c r="AD1189" s="180">
        <f>P1333</f>
        <v>5671.64</v>
      </c>
      <c r="AE1189" s="27" t="s">
        <v>93</v>
      </c>
      <c r="AF1189" s="40">
        <f>(Z1189*AD1189)</f>
        <v>680.59680000000003</v>
      </c>
      <c r="AG1189" s="47" t="str">
        <f t="shared" si="140"/>
        <v>CUM</v>
      </c>
      <c r="AH1189" s="40">
        <v>0.12</v>
      </c>
      <c r="AI1189" s="38" t="s">
        <v>93</v>
      </c>
      <c r="AJ1189" s="26" t="s">
        <v>857</v>
      </c>
      <c r="AK1189" s="49">
        <f>AD1189</f>
        <v>5671.64</v>
      </c>
      <c r="AL1189" s="27" t="s">
        <v>93</v>
      </c>
      <c r="AM1189" s="40">
        <f>(AH1189*AK1189)</f>
        <v>680.59680000000003</v>
      </c>
    </row>
    <row r="1190" spans="6:39" ht="24" customHeight="1">
      <c r="H1190" s="35" t="s">
        <v>48</v>
      </c>
      <c r="Z1190" s="40">
        <v>1</v>
      </c>
      <c r="AA1190" s="38" t="s">
        <v>791</v>
      </c>
      <c r="AB1190" s="38"/>
      <c r="AC1190" s="26" t="s">
        <v>792</v>
      </c>
      <c r="AD1190" s="180">
        <f>P1334</f>
        <v>1076.5999999999999</v>
      </c>
      <c r="AE1190" s="27" t="s">
        <v>793</v>
      </c>
      <c r="AF1190" s="40">
        <f>(Z1190*AD1190)</f>
        <v>1076.5999999999999</v>
      </c>
      <c r="AG1190" s="47" t="str">
        <f t="shared" si="140"/>
        <v>No.</v>
      </c>
      <c r="AH1190" s="40">
        <v>1</v>
      </c>
      <c r="AI1190" s="38" t="s">
        <v>791</v>
      </c>
      <c r="AJ1190" s="26" t="s">
        <v>792</v>
      </c>
      <c r="AK1190" s="49">
        <f>AD1190</f>
        <v>1076.5999999999999</v>
      </c>
      <c r="AL1190" s="27" t="s">
        <v>793</v>
      </c>
      <c r="AM1190" s="40">
        <f>(AH1190*AK1190)</f>
        <v>1076.5999999999999</v>
      </c>
    </row>
    <row r="1191" spans="6:39" ht="24" customHeight="1">
      <c r="F1191" s="40">
        <v>1</v>
      </c>
      <c r="G1191" s="38" t="s">
        <v>392</v>
      </c>
      <c r="H1191" s="26" t="s">
        <v>1475</v>
      </c>
      <c r="I1191" s="181">
        <v>60.9</v>
      </c>
      <c r="J1191" s="26" t="s">
        <v>392</v>
      </c>
      <c r="K1191" s="39">
        <f>(F1191*I1191)</f>
        <v>60.9</v>
      </c>
      <c r="Z1191" s="40">
        <v>1</v>
      </c>
      <c r="AA1191" s="38" t="s">
        <v>791</v>
      </c>
      <c r="AB1191" s="38"/>
      <c r="AC1191" s="26" t="s">
        <v>1476</v>
      </c>
      <c r="AD1191" s="180">
        <f>P1335</f>
        <v>702.8</v>
      </c>
      <c r="AE1191" s="27" t="s">
        <v>793</v>
      </c>
      <c r="AF1191" s="40">
        <f>(Z1191*AD1191)</f>
        <v>702.8</v>
      </c>
      <c r="AG1191" s="47" t="str">
        <f t="shared" si="140"/>
        <v>No.</v>
      </c>
      <c r="AH1191" s="40">
        <v>1</v>
      </c>
      <c r="AI1191" s="38" t="s">
        <v>791</v>
      </c>
      <c r="AJ1191" s="26" t="s">
        <v>1476</v>
      </c>
      <c r="AK1191" s="49">
        <f>AG10</f>
        <v>1005.1999999999999</v>
      </c>
      <c r="AL1191" s="27" t="s">
        <v>793</v>
      </c>
      <c r="AM1191" s="40">
        <f>(AH1191*AK1191)</f>
        <v>1005.1999999999999</v>
      </c>
    </row>
    <row r="1192" spans="6:39" ht="24" customHeight="1">
      <c r="K1192" s="35" t="s">
        <v>41</v>
      </c>
      <c r="Z1192" s="40"/>
      <c r="AA1192" s="38" t="s">
        <v>106</v>
      </c>
      <c r="AB1192" s="38"/>
      <c r="AC1192" s="26" t="s">
        <v>797</v>
      </c>
      <c r="AE1192" s="27" t="s">
        <v>106</v>
      </c>
      <c r="AF1192" s="40">
        <v>0.33</v>
      </c>
      <c r="AH1192" s="40"/>
      <c r="AI1192" s="38" t="s">
        <v>106</v>
      </c>
      <c r="AJ1192" s="26" t="s">
        <v>797</v>
      </c>
      <c r="AL1192" s="27" t="s">
        <v>106</v>
      </c>
      <c r="AM1192" s="40">
        <v>0.33</v>
      </c>
    </row>
    <row r="1193" spans="6:39" ht="24" customHeight="1">
      <c r="F1193" s="27">
        <v>39</v>
      </c>
      <c r="H1193" s="96" t="s">
        <v>1477</v>
      </c>
      <c r="I1193" s="49">
        <v>54.5</v>
      </c>
      <c r="J1193" s="26" t="s">
        <v>392</v>
      </c>
      <c r="K1193" s="182">
        <f>I1193</f>
        <v>54.5</v>
      </c>
      <c r="Z1193" s="40"/>
      <c r="AA1193" s="29"/>
      <c r="AB1193" s="29"/>
      <c r="AC1193" s="26" t="s">
        <v>799</v>
      </c>
      <c r="AF1193" s="33"/>
      <c r="AG1193" s="35" t="s">
        <v>48</v>
      </c>
      <c r="AH1193" s="40"/>
      <c r="AI1193" s="29"/>
      <c r="AJ1193" s="26" t="s">
        <v>799</v>
      </c>
      <c r="AM1193" s="33"/>
    </row>
    <row r="1194" spans="6:39" ht="24" customHeight="1">
      <c r="F1194" s="27" t="s">
        <v>214</v>
      </c>
      <c r="G1194" s="38" t="s">
        <v>67</v>
      </c>
      <c r="H1194" s="26" t="s">
        <v>1478</v>
      </c>
      <c r="I1194" s="26" t="s">
        <v>27</v>
      </c>
      <c r="J1194" s="26" t="s">
        <v>1083</v>
      </c>
      <c r="K1194" s="183">
        <v>9.6</v>
      </c>
      <c r="Z1194" s="40"/>
      <c r="AA1194" s="29"/>
      <c r="AB1194" s="29"/>
      <c r="AC1194" s="27" t="s">
        <v>867</v>
      </c>
      <c r="AE1194" s="33"/>
      <c r="AF1194" s="40">
        <f>SUM(AF1188:AF1193)</f>
        <v>19520.326799999999</v>
      </c>
      <c r="AG1194" s="40">
        <f>SUM(AG1188:AG1192)</f>
        <v>0</v>
      </c>
      <c r="AH1194" s="40"/>
      <c r="AI1194" s="29"/>
      <c r="AJ1194" s="27" t="s">
        <v>867</v>
      </c>
      <c r="AL1194" s="33"/>
      <c r="AM1194" s="40">
        <f>SUM(AM1188:AM1193)</f>
        <v>10802.7268</v>
      </c>
    </row>
    <row r="1195" spans="6:39" ht="24" customHeight="1">
      <c r="H1195" s="26" t="s">
        <v>1479</v>
      </c>
      <c r="K1195" s="35" t="s">
        <v>41</v>
      </c>
      <c r="AA1195" s="29"/>
      <c r="AB1195" s="29"/>
      <c r="AE1195" s="33"/>
      <c r="AF1195" s="35" t="s">
        <v>48</v>
      </c>
      <c r="AG1195" s="35" t="s">
        <v>48</v>
      </c>
      <c r="AI1195" s="29"/>
      <c r="AL1195" s="33"/>
      <c r="AM1195" s="35" t="s">
        <v>48</v>
      </c>
    </row>
    <row r="1196" spans="6:39" ht="24" customHeight="1">
      <c r="AA1196" s="29"/>
      <c r="AB1196" s="29"/>
      <c r="AC1196" s="27" t="s">
        <v>872</v>
      </c>
      <c r="AF1196" s="39">
        <f>AF1194/10</f>
        <v>1952.0326799999998</v>
      </c>
      <c r="AI1196" s="29"/>
      <c r="AJ1196" s="27" t="s">
        <v>872</v>
      </c>
      <c r="AM1196" s="39">
        <f>AM1194/10</f>
        <v>1080.27268</v>
      </c>
    </row>
    <row r="1197" spans="6:39" ht="24" customHeight="1">
      <c r="F1197" s="27" t="s">
        <v>226</v>
      </c>
      <c r="G1197" s="38" t="s">
        <v>67</v>
      </c>
      <c r="H1197" s="26" t="s">
        <v>1480</v>
      </c>
      <c r="AA1197" s="29"/>
      <c r="AB1197" s="29"/>
      <c r="AC1197" s="26" t="s">
        <v>309</v>
      </c>
      <c r="AE1197" s="33">
        <f>C22*0.01</f>
        <v>1.2585999999999999</v>
      </c>
      <c r="AF1197" s="40">
        <f>AF1196+AE1197</f>
        <v>1953.2912799999997</v>
      </c>
      <c r="AI1197" s="29"/>
      <c r="AJ1197" s="26" t="s">
        <v>309</v>
      </c>
      <c r="AL1197" s="33">
        <f>AE1197</f>
        <v>1.2585999999999999</v>
      </c>
      <c r="AM1197" s="40">
        <f>AM1196+AL1197</f>
        <v>1081.5312799999999</v>
      </c>
    </row>
    <row r="1198" spans="6:39" ht="24" customHeight="1">
      <c r="H1198" s="26" t="s">
        <v>1481</v>
      </c>
      <c r="AA1198" s="29"/>
      <c r="AB1198" s="29"/>
      <c r="AC1198" s="26" t="s">
        <v>313</v>
      </c>
      <c r="AE1198" s="33">
        <f>C23*0.01</f>
        <v>2.4779999999999998</v>
      </c>
      <c r="AF1198" s="40">
        <f>AF1197+AE1198</f>
        <v>1955.7692799999998</v>
      </c>
      <c r="AI1198" s="29"/>
      <c r="AJ1198" s="26" t="s">
        <v>313</v>
      </c>
      <c r="AL1198" s="33">
        <f t="shared" ref="AL1198:AL1206" si="144">AE1198</f>
        <v>2.4779999999999998</v>
      </c>
      <c r="AM1198" s="40">
        <f>AM1197+AL1198</f>
        <v>1084.00928</v>
      </c>
    </row>
    <row r="1199" spans="6:39" ht="24" customHeight="1">
      <c r="H1199" s="35" t="s">
        <v>48</v>
      </c>
      <c r="AA1199" s="29"/>
      <c r="AB1199" s="29"/>
      <c r="AC1199" s="26" t="s">
        <v>316</v>
      </c>
      <c r="AE1199" s="33">
        <f t="shared" ref="AE1199:AE1208" si="145">AE1198</f>
        <v>2.4779999999999998</v>
      </c>
      <c r="AF1199" s="40">
        <f t="shared" ref="AF1199:AF1208" si="146">+AF1198+AE1199</f>
        <v>1958.2472799999998</v>
      </c>
      <c r="AI1199" s="29"/>
      <c r="AJ1199" s="26" t="s">
        <v>316</v>
      </c>
      <c r="AL1199" s="33">
        <f t="shared" si="144"/>
        <v>2.4779999999999998</v>
      </c>
      <c r="AM1199" s="40">
        <f t="shared" ref="AM1199:AM1206" si="147">+AM1198+AL1199</f>
        <v>1086.4872800000001</v>
      </c>
    </row>
    <row r="1200" spans="6:39" ht="24" customHeight="1">
      <c r="F1200" s="40">
        <v>0.22</v>
      </c>
      <c r="G1200" s="38" t="s">
        <v>93</v>
      </c>
      <c r="H1200" s="26" t="s">
        <v>218</v>
      </c>
      <c r="I1200" s="40">
        <f>K40</f>
        <v>4975.6400000000003</v>
      </c>
      <c r="J1200" s="26" t="s">
        <v>93</v>
      </c>
      <c r="K1200" s="40">
        <f>(F1200*I1200)</f>
        <v>1094.6408000000001</v>
      </c>
      <c r="AA1200" s="29"/>
      <c r="AB1200" s="29"/>
      <c r="AC1200" s="26" t="s">
        <v>318</v>
      </c>
      <c r="AE1200" s="33">
        <f t="shared" si="145"/>
        <v>2.4779999999999998</v>
      </c>
      <c r="AF1200" s="40">
        <f t="shared" si="146"/>
        <v>1960.7252799999999</v>
      </c>
      <c r="AI1200" s="29"/>
      <c r="AJ1200" s="26" t="s">
        <v>318</v>
      </c>
      <c r="AL1200" s="33">
        <f t="shared" si="144"/>
        <v>2.4779999999999998</v>
      </c>
      <c r="AM1200" s="40">
        <f t="shared" si="147"/>
        <v>1088.9652800000001</v>
      </c>
    </row>
    <row r="1201" spans="6:39" ht="24" customHeight="1">
      <c r="F1201" s="40">
        <v>2.2000000000000002</v>
      </c>
      <c r="G1201" s="38" t="s">
        <v>196</v>
      </c>
      <c r="H1201" s="26" t="s">
        <v>298</v>
      </c>
      <c r="I1201" s="40">
        <f>(C10)</f>
        <v>1076.5999999999999</v>
      </c>
      <c r="J1201" s="26" t="s">
        <v>196</v>
      </c>
      <c r="K1201" s="40">
        <f>(F1201*I1201)</f>
        <v>2368.52</v>
      </c>
      <c r="AA1201" s="29"/>
      <c r="AB1201" s="29"/>
      <c r="AC1201" s="26" t="s">
        <v>707</v>
      </c>
      <c r="AE1201" s="33">
        <f t="shared" si="145"/>
        <v>2.4779999999999998</v>
      </c>
      <c r="AF1201" s="40">
        <f t="shared" si="146"/>
        <v>1963.2032799999999</v>
      </c>
      <c r="AI1201" s="29"/>
      <c r="AJ1201" s="26" t="s">
        <v>707</v>
      </c>
      <c r="AL1201" s="33">
        <f t="shared" si="144"/>
        <v>2.4779999999999998</v>
      </c>
      <c r="AM1201" s="40">
        <f t="shared" si="147"/>
        <v>1091.4432800000002</v>
      </c>
    </row>
    <row r="1202" spans="6:39" ht="24" customHeight="1">
      <c r="F1202" s="40">
        <v>0.5</v>
      </c>
      <c r="G1202" s="38" t="s">
        <v>196</v>
      </c>
      <c r="H1202" s="26" t="s">
        <v>1482</v>
      </c>
      <c r="I1202" s="40">
        <f>(C12)</f>
        <v>702.8</v>
      </c>
      <c r="J1202" s="26" t="s">
        <v>196</v>
      </c>
      <c r="K1202" s="40">
        <f>(F1202*I1202)</f>
        <v>351.4</v>
      </c>
      <c r="AA1202" s="29"/>
      <c r="AB1202" s="29"/>
      <c r="AC1202" s="28">
        <v>5</v>
      </c>
      <c r="AE1202" s="33">
        <f t="shared" si="145"/>
        <v>2.4779999999999998</v>
      </c>
      <c r="AF1202" s="40">
        <f t="shared" si="146"/>
        <v>1965.68128</v>
      </c>
      <c r="AG1202" s="47">
        <f t="shared" si="140"/>
        <v>0</v>
      </c>
      <c r="AI1202" s="29"/>
      <c r="AJ1202" s="28">
        <v>5</v>
      </c>
      <c r="AL1202" s="33">
        <f t="shared" si="144"/>
        <v>2.4779999999999998</v>
      </c>
      <c r="AM1202" s="40">
        <f t="shared" si="147"/>
        <v>1093.9212800000003</v>
      </c>
    </row>
    <row r="1203" spans="6:39" ht="24" customHeight="1">
      <c r="F1203" s="40">
        <v>3.2</v>
      </c>
      <c r="G1203" s="38" t="s">
        <v>196</v>
      </c>
      <c r="H1203" s="26" t="s">
        <v>276</v>
      </c>
      <c r="I1203" s="40">
        <f>(C13)</f>
        <v>576.79999999999995</v>
      </c>
      <c r="J1203" s="26" t="s">
        <v>196</v>
      </c>
      <c r="K1203" s="40">
        <f>(F1203*I1203)</f>
        <v>1845.76</v>
      </c>
      <c r="AC1203" s="28">
        <v>6</v>
      </c>
      <c r="AE1203" s="33">
        <f t="shared" si="145"/>
        <v>2.4779999999999998</v>
      </c>
      <c r="AF1203" s="40">
        <f t="shared" si="146"/>
        <v>1968.1592800000001</v>
      </c>
      <c r="AG1203" s="47">
        <f t="shared" si="140"/>
        <v>0</v>
      </c>
      <c r="AJ1203" s="28">
        <v>6</v>
      </c>
      <c r="AL1203" s="33">
        <f t="shared" si="144"/>
        <v>2.4779999999999998</v>
      </c>
      <c r="AM1203" s="40">
        <f t="shared" si="147"/>
        <v>1096.3992800000003</v>
      </c>
    </row>
    <row r="1204" spans="6:39" ht="24" customHeight="1">
      <c r="F1204" s="40"/>
      <c r="G1204" s="38"/>
      <c r="H1204" s="26"/>
      <c r="I1204" s="40"/>
      <c r="J1204" s="26"/>
      <c r="K1204" s="40"/>
      <c r="AC1204" s="28">
        <v>7</v>
      </c>
      <c r="AE1204" s="33">
        <f t="shared" si="145"/>
        <v>2.4779999999999998</v>
      </c>
      <c r="AF1204" s="40">
        <f t="shared" si="146"/>
        <v>1970.6372800000001</v>
      </c>
      <c r="AG1204" s="47"/>
      <c r="AJ1204" s="28">
        <v>7</v>
      </c>
      <c r="AL1204" s="33">
        <f t="shared" si="144"/>
        <v>2.4779999999999998</v>
      </c>
      <c r="AM1204" s="40">
        <f t="shared" si="147"/>
        <v>1098.8772800000004</v>
      </c>
    </row>
    <row r="1205" spans="6:39" ht="24" customHeight="1">
      <c r="F1205" s="40"/>
      <c r="G1205" s="38"/>
      <c r="H1205" s="26"/>
      <c r="I1205" s="40"/>
      <c r="J1205" s="26"/>
      <c r="K1205" s="40"/>
      <c r="AC1205" s="28">
        <v>8</v>
      </c>
      <c r="AE1205" s="33">
        <f t="shared" si="145"/>
        <v>2.4779999999999998</v>
      </c>
      <c r="AF1205" s="40">
        <f t="shared" si="146"/>
        <v>1973.1152800000002</v>
      </c>
      <c r="AG1205" s="47"/>
      <c r="AJ1205" s="28">
        <v>8</v>
      </c>
      <c r="AL1205" s="33">
        <f t="shared" si="144"/>
        <v>2.4779999999999998</v>
      </c>
      <c r="AM1205" s="40">
        <f t="shared" si="147"/>
        <v>1101.3552800000004</v>
      </c>
    </row>
    <row r="1206" spans="6:39" ht="24" customHeight="1">
      <c r="F1206" s="40"/>
      <c r="G1206" s="38"/>
      <c r="H1206" s="26"/>
      <c r="I1206" s="40"/>
      <c r="J1206" s="26"/>
      <c r="K1206" s="40"/>
      <c r="AC1206" s="28">
        <v>9</v>
      </c>
      <c r="AE1206" s="33">
        <f t="shared" si="145"/>
        <v>2.4779999999999998</v>
      </c>
      <c r="AF1206" s="40">
        <f t="shared" si="146"/>
        <v>1975.5932800000003</v>
      </c>
      <c r="AG1206" s="47"/>
      <c r="AJ1206" s="28">
        <v>9</v>
      </c>
      <c r="AL1206" s="33">
        <f t="shared" si="144"/>
        <v>2.4779999999999998</v>
      </c>
      <c r="AM1206" s="40">
        <f t="shared" si="147"/>
        <v>1103.8332800000005</v>
      </c>
    </row>
    <row r="1207" spans="6:39" ht="24" customHeight="1">
      <c r="F1207" s="40"/>
      <c r="G1207" s="38"/>
      <c r="H1207" s="26"/>
      <c r="I1207" s="40"/>
      <c r="J1207" s="26"/>
      <c r="K1207" s="40"/>
      <c r="AC1207" s="28">
        <v>10</v>
      </c>
      <c r="AE1207" s="33">
        <f t="shared" si="145"/>
        <v>2.4779999999999998</v>
      </c>
      <c r="AF1207" s="40">
        <f t="shared" si="146"/>
        <v>1978.0712800000003</v>
      </c>
      <c r="AG1207" s="47"/>
      <c r="AI1207" s="26"/>
    </row>
    <row r="1208" spans="6:39" ht="24" customHeight="1">
      <c r="F1208" s="40"/>
      <c r="G1208" s="38"/>
      <c r="H1208" s="26"/>
      <c r="I1208" s="40"/>
      <c r="J1208" s="26"/>
      <c r="K1208" s="40"/>
      <c r="AC1208" s="28">
        <v>11</v>
      </c>
      <c r="AE1208" s="33">
        <f t="shared" si="145"/>
        <v>2.4779999999999998</v>
      </c>
      <c r="AF1208" s="40">
        <f t="shared" si="146"/>
        <v>1980.5492800000004</v>
      </c>
      <c r="AG1208" s="47"/>
      <c r="AI1208" s="26"/>
    </row>
    <row r="1209" spans="6:39" ht="24" customHeight="1">
      <c r="G1209" s="38" t="s">
        <v>106</v>
      </c>
      <c r="H1209" s="26" t="s">
        <v>107</v>
      </c>
      <c r="I1209" s="26" t="s">
        <v>27</v>
      </c>
      <c r="J1209" s="26" t="s">
        <v>106</v>
      </c>
      <c r="K1209" s="40">
        <v>5</v>
      </c>
      <c r="N1209" s="29"/>
      <c r="Q1209" s="33"/>
      <c r="Z1209" s="77">
        <v>29.5</v>
      </c>
      <c r="AA1209" s="38" t="s">
        <v>67</v>
      </c>
      <c r="AB1209" s="38"/>
      <c r="AC1209" s="30" t="s">
        <v>1483</v>
      </c>
      <c r="AG1209" s="47" t="str">
        <f t="shared" ref="AG1209:AG1277" si="148">AI1209</f>
        <v>|</v>
      </c>
      <c r="AI1209" s="26" t="s">
        <v>685</v>
      </c>
    </row>
    <row r="1210" spans="6:39" ht="24" customHeight="1">
      <c r="K1210" s="35" t="s">
        <v>48</v>
      </c>
      <c r="N1210" s="29"/>
      <c r="Q1210" s="33"/>
      <c r="AA1210" s="29"/>
      <c r="AB1210" s="29"/>
      <c r="AC1210" s="30" t="s">
        <v>1484</v>
      </c>
      <c r="AG1210" s="47" t="str">
        <f t="shared" si="148"/>
        <v>|</v>
      </c>
      <c r="AI1210" s="26" t="s">
        <v>685</v>
      </c>
    </row>
    <row r="1211" spans="6:39" ht="24" customHeight="1">
      <c r="H1211" s="26" t="s">
        <v>401</v>
      </c>
      <c r="K1211" s="40">
        <f>SUM(K1200:K1209)</f>
        <v>5665.3208000000004</v>
      </c>
      <c r="N1211" s="29"/>
      <c r="Q1211" s="33"/>
      <c r="AA1211" s="29"/>
      <c r="AB1211" s="29"/>
      <c r="AC1211" s="26"/>
      <c r="AG1211" s="47" t="str">
        <f t="shared" si="148"/>
        <v>|</v>
      </c>
      <c r="AI1211" s="26" t="s">
        <v>685</v>
      </c>
    </row>
    <row r="1212" spans="6:39" ht="36.75" customHeight="1">
      <c r="F1212" s="28" t="s">
        <v>27</v>
      </c>
      <c r="K1212" s="35" t="s">
        <v>48</v>
      </c>
      <c r="N1212" s="29"/>
      <c r="O1212" s="184" t="s">
        <v>1485</v>
      </c>
      <c r="Q1212" s="33"/>
      <c r="AA1212" s="29"/>
      <c r="AB1212" s="29"/>
      <c r="AC1212" s="35" t="s">
        <v>48</v>
      </c>
      <c r="AD1212" s="35" t="s">
        <v>48</v>
      </c>
      <c r="AE1212" s="31">
        <f>54.96*10.764</f>
        <v>591.58943999999997</v>
      </c>
      <c r="AG1212" s="47" t="str">
        <f t="shared" si="148"/>
        <v>|</v>
      </c>
      <c r="AI1212" s="26" t="s">
        <v>685</v>
      </c>
    </row>
    <row r="1213" spans="6:39" ht="30" customHeight="1">
      <c r="H1213" s="42" t="s">
        <v>403</v>
      </c>
      <c r="K1213" s="39">
        <f>(K1211/10)</f>
        <v>566.53208000000006</v>
      </c>
      <c r="N1213" s="29"/>
      <c r="Q1213" s="33"/>
      <c r="Z1213" s="40">
        <v>10</v>
      </c>
      <c r="AA1213" s="38" t="s">
        <v>438</v>
      </c>
      <c r="AB1213" s="38"/>
      <c r="AC1213" s="92" t="s">
        <v>1486</v>
      </c>
      <c r="AD1213" s="73">
        <v>591.59</v>
      </c>
      <c r="AE1213" s="26" t="s">
        <v>438</v>
      </c>
      <c r="AF1213" s="40">
        <f>(Z1213*AD1213)</f>
        <v>5915.9000000000005</v>
      </c>
      <c r="AG1213" s="47" t="str">
        <f t="shared" si="148"/>
        <v>|</v>
      </c>
      <c r="AI1213" s="26" t="s">
        <v>685</v>
      </c>
    </row>
    <row r="1214" spans="6:39" ht="24" customHeight="1">
      <c r="K1214" s="35" t="s">
        <v>41</v>
      </c>
      <c r="N1214" s="29"/>
      <c r="Q1214" s="33"/>
      <c r="S1214" s="185" t="s">
        <v>1487</v>
      </c>
      <c r="Z1214" s="40">
        <v>0.21</v>
      </c>
      <c r="AA1214" s="38" t="s">
        <v>93</v>
      </c>
      <c r="AB1214" s="38"/>
      <c r="AC1214" s="26" t="s">
        <v>1488</v>
      </c>
      <c r="AD1214" s="48">
        <f t="shared" ref="AD1214:AD1226" si="149">AD1242</f>
        <v>5671.64</v>
      </c>
      <c r="AE1214" s="26" t="s">
        <v>93</v>
      </c>
      <c r="AF1214" s="40">
        <f>(Z1214*AD1214)</f>
        <v>1191.0444</v>
      </c>
      <c r="AG1214" s="47" t="str">
        <f t="shared" si="148"/>
        <v>|</v>
      </c>
      <c r="AI1214" s="26" t="s">
        <v>685</v>
      </c>
    </row>
    <row r="1215" spans="6:39" ht="24" customHeight="1">
      <c r="F1215" s="27" t="s">
        <v>1489</v>
      </c>
      <c r="G1215" s="38" t="s">
        <v>67</v>
      </c>
      <c r="H1215" s="26" t="s">
        <v>1490</v>
      </c>
      <c r="M1215" s="40">
        <v>10</v>
      </c>
      <c r="N1215" s="38" t="s">
        <v>438</v>
      </c>
      <c r="O1215" s="96" t="s">
        <v>1491</v>
      </c>
      <c r="P1215" s="72">
        <v>599</v>
      </c>
      <c r="Q1215" s="27" t="s">
        <v>438</v>
      </c>
      <c r="R1215" s="40">
        <f>M1215*P1215</f>
        <v>5990</v>
      </c>
      <c r="S1215" s="32">
        <v>694.02</v>
      </c>
      <c r="T1215" s="28">
        <f>S1215*M1215</f>
        <v>6940.2</v>
      </c>
      <c r="AA1215" s="29"/>
      <c r="AB1215" s="29"/>
      <c r="AC1215" s="26" t="s">
        <v>1492</v>
      </c>
      <c r="AD1215" s="48" t="str">
        <f t="shared" si="149"/>
        <v/>
      </c>
      <c r="AE1215" s="31"/>
      <c r="AF1215" s="26" t="s">
        <v>27</v>
      </c>
      <c r="AG1215" s="47" t="str">
        <f t="shared" si="148"/>
        <v>|</v>
      </c>
      <c r="AI1215" s="26" t="s">
        <v>685</v>
      </c>
    </row>
    <row r="1216" spans="6:39" ht="24" customHeight="1">
      <c r="H1216" s="26" t="s">
        <v>1493</v>
      </c>
      <c r="M1216" s="40">
        <v>0.21</v>
      </c>
      <c r="N1216" s="38" t="s">
        <v>93</v>
      </c>
      <c r="O1216" s="26" t="s">
        <v>1488</v>
      </c>
      <c r="P1216" s="40">
        <f>I1220</f>
        <v>5671.64</v>
      </c>
      <c r="Q1216" s="27" t="s">
        <v>93</v>
      </c>
      <c r="R1216" s="40">
        <f t="shared" ref="R1216:R1225" si="150">(M1216*P1216)</f>
        <v>1191.0444</v>
      </c>
      <c r="T1216" s="28">
        <f>R1216</f>
        <v>1191.0444</v>
      </c>
      <c r="Z1216" s="40">
        <v>1.1000000000000001</v>
      </c>
      <c r="AA1216" s="38" t="s">
        <v>196</v>
      </c>
      <c r="AB1216" s="38"/>
      <c r="AC1216" s="26" t="s">
        <v>298</v>
      </c>
      <c r="AD1216" s="48">
        <f t="shared" si="149"/>
        <v>1076.5999999999999</v>
      </c>
      <c r="AE1216" s="26" t="s">
        <v>196</v>
      </c>
      <c r="AF1216" s="40">
        <f>(Z1216*AD1216)</f>
        <v>1184.26</v>
      </c>
      <c r="AG1216" s="47" t="str">
        <f t="shared" si="148"/>
        <v>|</v>
      </c>
      <c r="AI1216" s="26" t="s">
        <v>685</v>
      </c>
    </row>
    <row r="1217" spans="6:35" ht="24" customHeight="1">
      <c r="H1217" s="35" t="s">
        <v>48</v>
      </c>
      <c r="M1217" s="40">
        <v>1.1000000000000001</v>
      </c>
      <c r="N1217" s="38" t="s">
        <v>196</v>
      </c>
      <c r="O1217" s="26" t="s">
        <v>298</v>
      </c>
      <c r="P1217" s="40">
        <f>I1222</f>
        <v>1076.5999999999999</v>
      </c>
      <c r="Q1217" s="27" t="s">
        <v>196</v>
      </c>
      <c r="R1217" s="40">
        <f t="shared" si="150"/>
        <v>1184.26</v>
      </c>
      <c r="T1217" s="28">
        <f t="shared" ref="T1217:T1225" si="151">R1217</f>
        <v>1184.26</v>
      </c>
      <c r="Z1217" s="40">
        <v>1.1000000000000001</v>
      </c>
      <c r="AA1217" s="38" t="s">
        <v>196</v>
      </c>
      <c r="AB1217" s="38"/>
      <c r="AC1217" s="26" t="s">
        <v>269</v>
      </c>
      <c r="AD1217" s="48">
        <f t="shared" si="149"/>
        <v>1005.1999999999999</v>
      </c>
      <c r="AE1217" s="26" t="s">
        <v>196</v>
      </c>
      <c r="AF1217" s="40">
        <f>(Z1217*AD1217)</f>
        <v>1105.72</v>
      </c>
      <c r="AG1217" s="47" t="str">
        <f t="shared" si="148"/>
        <v>|</v>
      </c>
      <c r="AI1217" s="26" t="s">
        <v>685</v>
      </c>
    </row>
    <row r="1218" spans="6:35" ht="24" customHeight="1">
      <c r="F1218" s="40">
        <v>160</v>
      </c>
      <c r="G1218" s="38" t="s">
        <v>1420</v>
      </c>
      <c r="H1218" s="26" t="s">
        <v>1494</v>
      </c>
      <c r="I1218" s="40">
        <f>(C137)</f>
        <v>11559</v>
      </c>
      <c r="J1218" s="26" t="s">
        <v>325</v>
      </c>
      <c r="K1218" s="40">
        <f>(F1218*I1218)/1000</f>
        <v>1849.44</v>
      </c>
      <c r="M1218" s="40">
        <v>1.1000000000000001</v>
      </c>
      <c r="N1218" s="38" t="s">
        <v>196</v>
      </c>
      <c r="O1218" s="26" t="s">
        <v>269</v>
      </c>
      <c r="P1218" s="40">
        <f>I1223</f>
        <v>1005.1999999999999</v>
      </c>
      <c r="Q1218" s="27" t="s">
        <v>196</v>
      </c>
      <c r="R1218" s="40">
        <f t="shared" si="150"/>
        <v>1105.72</v>
      </c>
      <c r="T1218" s="28">
        <f t="shared" si="151"/>
        <v>1105.72</v>
      </c>
      <c r="Z1218" s="40">
        <v>2.2000000000000002</v>
      </c>
      <c r="AA1218" s="38" t="s">
        <v>196</v>
      </c>
      <c r="AB1218" s="38"/>
      <c r="AC1218" s="26" t="s">
        <v>271</v>
      </c>
      <c r="AD1218" s="48">
        <f t="shared" si="149"/>
        <v>702.8</v>
      </c>
      <c r="AE1218" s="26" t="s">
        <v>196</v>
      </c>
      <c r="AF1218" s="40">
        <f>(Z1218*AD1218)</f>
        <v>1546.16</v>
      </c>
      <c r="AG1218" s="47" t="str">
        <f t="shared" si="148"/>
        <v>|</v>
      </c>
      <c r="AI1218" s="26" t="s">
        <v>685</v>
      </c>
    </row>
    <row r="1219" spans="6:35" ht="24" customHeight="1">
      <c r="H1219" s="26" t="s">
        <v>1495</v>
      </c>
      <c r="I1219" s="26" t="s">
        <v>27</v>
      </c>
      <c r="K1219" s="26" t="s">
        <v>27</v>
      </c>
      <c r="M1219" s="40">
        <v>2.2000000000000002</v>
      </c>
      <c r="N1219" s="38" t="s">
        <v>196</v>
      </c>
      <c r="O1219" s="26" t="s">
        <v>271</v>
      </c>
      <c r="P1219" s="40">
        <f>I1224</f>
        <v>702.8</v>
      </c>
      <c r="Q1219" s="27" t="s">
        <v>196</v>
      </c>
      <c r="R1219" s="40">
        <f t="shared" si="150"/>
        <v>1546.16</v>
      </c>
      <c r="T1219" s="28">
        <f t="shared" si="151"/>
        <v>1546.16</v>
      </c>
      <c r="Z1219" s="40">
        <v>2.2000000000000002</v>
      </c>
      <c r="AA1219" s="38" t="s">
        <v>196</v>
      </c>
      <c r="AB1219" s="38"/>
      <c r="AC1219" s="26" t="s">
        <v>276</v>
      </c>
      <c r="AD1219" s="48">
        <f t="shared" si="149"/>
        <v>576.79999999999995</v>
      </c>
      <c r="AE1219" s="26" t="s">
        <v>196</v>
      </c>
      <c r="AF1219" s="40">
        <f>(Z1219*AD1219)</f>
        <v>1268.96</v>
      </c>
      <c r="AG1219" s="47" t="str">
        <f t="shared" si="148"/>
        <v>|</v>
      </c>
      <c r="AI1219" s="26" t="s">
        <v>685</v>
      </c>
    </row>
    <row r="1220" spans="6:35" ht="24" customHeight="1">
      <c r="F1220" s="40">
        <v>0.21</v>
      </c>
      <c r="G1220" s="38" t="s">
        <v>93</v>
      </c>
      <c r="H1220" s="26" t="s">
        <v>1488</v>
      </c>
      <c r="I1220" s="40">
        <f>(K32)</f>
        <v>5671.64</v>
      </c>
      <c r="J1220" s="26" t="s">
        <v>93</v>
      </c>
      <c r="K1220" s="40">
        <f>(F1220*I1220)</f>
        <v>1191.0444</v>
      </c>
      <c r="M1220" s="40">
        <v>2.2000000000000002</v>
      </c>
      <c r="N1220" s="38" t="s">
        <v>196</v>
      </c>
      <c r="O1220" s="26" t="s">
        <v>276</v>
      </c>
      <c r="P1220" s="40">
        <f>I1225</f>
        <v>576.79999999999995</v>
      </c>
      <c r="Q1220" s="27" t="s">
        <v>196</v>
      </c>
      <c r="R1220" s="40">
        <f t="shared" si="150"/>
        <v>1268.96</v>
      </c>
      <c r="T1220" s="28">
        <f t="shared" si="151"/>
        <v>1268.96</v>
      </c>
      <c r="Z1220" s="76">
        <v>20</v>
      </c>
      <c r="AA1220" s="38" t="s">
        <v>392</v>
      </c>
      <c r="AB1220" s="38"/>
      <c r="AC1220" s="26" t="s">
        <v>85</v>
      </c>
      <c r="AD1220" s="48">
        <f t="shared" si="149"/>
        <v>5800</v>
      </c>
      <c r="AE1220" s="26" t="s">
        <v>84</v>
      </c>
      <c r="AF1220" s="40">
        <f>(Z1220*AD1220)/1000</f>
        <v>116</v>
      </c>
      <c r="AG1220" s="47" t="str">
        <f t="shared" si="148"/>
        <v>|</v>
      </c>
      <c r="AI1220" s="26" t="s">
        <v>685</v>
      </c>
    </row>
    <row r="1221" spans="6:35" ht="24" customHeight="1">
      <c r="H1221" s="26" t="s">
        <v>1492</v>
      </c>
      <c r="I1221" s="26" t="s">
        <v>27</v>
      </c>
      <c r="K1221" s="26" t="s">
        <v>27</v>
      </c>
      <c r="M1221" s="76">
        <v>20</v>
      </c>
      <c r="N1221" s="38" t="s">
        <v>392</v>
      </c>
      <c r="O1221" s="26" t="s">
        <v>85</v>
      </c>
      <c r="P1221" s="40">
        <f>I1226</f>
        <v>5800</v>
      </c>
      <c r="Q1221" s="27" t="s">
        <v>84</v>
      </c>
      <c r="R1221" s="40">
        <f>(M1221*P1221)/1000</f>
        <v>116</v>
      </c>
      <c r="T1221" s="28">
        <f t="shared" si="151"/>
        <v>116</v>
      </c>
      <c r="Z1221" s="76">
        <v>2</v>
      </c>
      <c r="AA1221" s="38" t="s">
        <v>392</v>
      </c>
      <c r="AB1221" s="38"/>
      <c r="AC1221" s="26" t="s">
        <v>1496</v>
      </c>
      <c r="AD1221" s="48">
        <f t="shared" si="149"/>
        <v>36.1</v>
      </c>
      <c r="AE1221" s="26" t="s">
        <v>392</v>
      </c>
      <c r="AF1221" s="40">
        <f>(Z1221*AD1221)</f>
        <v>72.2</v>
      </c>
      <c r="AG1221" s="47" t="str">
        <f t="shared" si="148"/>
        <v>|</v>
      </c>
      <c r="AI1221" s="26" t="s">
        <v>685</v>
      </c>
    </row>
    <row r="1222" spans="6:35" ht="24" customHeight="1">
      <c r="F1222" s="40">
        <v>1.1000000000000001</v>
      </c>
      <c r="G1222" s="38" t="s">
        <v>196</v>
      </c>
      <c r="H1222" s="26" t="s">
        <v>298</v>
      </c>
      <c r="I1222" s="40">
        <f>(C10)</f>
        <v>1076.5999999999999</v>
      </c>
      <c r="J1222" s="26" t="s">
        <v>196</v>
      </c>
      <c r="K1222" s="40">
        <f>(F1222*I1222)</f>
        <v>1184.26</v>
      </c>
      <c r="M1222" s="76">
        <v>2</v>
      </c>
      <c r="N1222" s="38" t="s">
        <v>392</v>
      </c>
      <c r="O1222" s="96" t="s">
        <v>1497</v>
      </c>
      <c r="P1222" s="49">
        <f>(22.2+26.8)/2</f>
        <v>24.5</v>
      </c>
      <c r="Q1222" s="27" t="s">
        <v>392</v>
      </c>
      <c r="R1222" s="40">
        <f t="shared" si="150"/>
        <v>49</v>
      </c>
      <c r="T1222" s="28">
        <f t="shared" si="151"/>
        <v>49</v>
      </c>
      <c r="Z1222" s="40">
        <v>1.6</v>
      </c>
      <c r="AA1222" s="38" t="s">
        <v>196</v>
      </c>
      <c r="AB1222" s="38"/>
      <c r="AC1222" s="26" t="s">
        <v>269</v>
      </c>
      <c r="AD1222" s="48">
        <f t="shared" si="149"/>
        <v>1005.1999999999999</v>
      </c>
      <c r="AE1222" s="26" t="s">
        <v>196</v>
      </c>
      <c r="AF1222" s="40">
        <f>(Z1222*AD1222)</f>
        <v>1608.32</v>
      </c>
      <c r="AG1222" s="47" t="str">
        <f t="shared" si="148"/>
        <v>|</v>
      </c>
      <c r="AI1222" s="26" t="s">
        <v>685</v>
      </c>
    </row>
    <row r="1223" spans="6:35" ht="24" customHeight="1">
      <c r="F1223" s="40">
        <v>1.1000000000000001</v>
      </c>
      <c r="G1223" s="38" t="s">
        <v>196</v>
      </c>
      <c r="H1223" s="26" t="s">
        <v>269</v>
      </c>
      <c r="I1223" s="40">
        <f>(C11)</f>
        <v>1005.1999999999999</v>
      </c>
      <c r="J1223" s="26" t="s">
        <v>196</v>
      </c>
      <c r="K1223" s="40">
        <f>(F1223*I1223)</f>
        <v>1105.72</v>
      </c>
      <c r="M1223" s="40">
        <v>1.6</v>
      </c>
      <c r="N1223" s="38" t="s">
        <v>196</v>
      </c>
      <c r="O1223" s="26" t="s">
        <v>269</v>
      </c>
      <c r="P1223" s="40">
        <f>P1218</f>
        <v>1005.1999999999999</v>
      </c>
      <c r="Q1223" s="27" t="s">
        <v>196</v>
      </c>
      <c r="R1223" s="40">
        <f t="shared" si="150"/>
        <v>1608.32</v>
      </c>
      <c r="T1223" s="28">
        <f t="shared" si="151"/>
        <v>1608.32</v>
      </c>
      <c r="Z1223" s="40">
        <v>0.5</v>
      </c>
      <c r="AA1223" s="38" t="s">
        <v>196</v>
      </c>
      <c r="AB1223" s="38"/>
      <c r="AC1223" s="26" t="s">
        <v>271</v>
      </c>
      <c r="AD1223" s="48">
        <f t="shared" si="149"/>
        <v>702.8</v>
      </c>
      <c r="AE1223" s="26" t="s">
        <v>196</v>
      </c>
      <c r="AF1223" s="40">
        <f>(Z1223*AD1223)</f>
        <v>351.4</v>
      </c>
      <c r="AG1223" s="47" t="str">
        <f t="shared" si="148"/>
        <v>|</v>
      </c>
      <c r="AI1223" s="26" t="s">
        <v>685</v>
      </c>
    </row>
    <row r="1224" spans="6:35" ht="24" customHeight="1">
      <c r="F1224" s="40">
        <v>2.2000000000000002</v>
      </c>
      <c r="G1224" s="38" t="s">
        <v>196</v>
      </c>
      <c r="H1224" s="26" t="s">
        <v>271</v>
      </c>
      <c r="I1224" s="40">
        <f>(C12)</f>
        <v>702.8</v>
      </c>
      <c r="J1224" s="26" t="s">
        <v>196</v>
      </c>
      <c r="K1224" s="40">
        <f>(F1224*I1224)</f>
        <v>1546.16</v>
      </c>
      <c r="M1224" s="40">
        <v>0.5</v>
      </c>
      <c r="N1224" s="38" t="s">
        <v>196</v>
      </c>
      <c r="O1224" s="26" t="s">
        <v>271</v>
      </c>
      <c r="P1224" s="40">
        <f>P1219</f>
        <v>702.8</v>
      </c>
      <c r="Q1224" s="27" t="s">
        <v>196</v>
      </c>
      <c r="R1224" s="40">
        <f t="shared" si="150"/>
        <v>351.4</v>
      </c>
      <c r="T1224" s="28">
        <f t="shared" si="151"/>
        <v>351.4</v>
      </c>
      <c r="Z1224" s="40">
        <v>1.1000000000000001</v>
      </c>
      <c r="AA1224" s="38" t="s">
        <v>196</v>
      </c>
      <c r="AB1224" s="38"/>
      <c r="AC1224" s="26" t="s">
        <v>276</v>
      </c>
      <c r="AD1224" s="48">
        <f t="shared" si="149"/>
        <v>576.79999999999995</v>
      </c>
      <c r="AE1224" s="26" t="s">
        <v>196</v>
      </c>
      <c r="AF1224" s="40">
        <f>(Z1224*AD1224)</f>
        <v>634.48</v>
      </c>
      <c r="AG1224" s="47" t="str">
        <f t="shared" si="148"/>
        <v>|</v>
      </c>
      <c r="AI1224" s="26" t="s">
        <v>685</v>
      </c>
    </row>
    <row r="1225" spans="6:35" ht="24" customHeight="1">
      <c r="F1225" s="40">
        <v>2.2000000000000002</v>
      </c>
      <c r="G1225" s="38" t="s">
        <v>196</v>
      </c>
      <c r="H1225" s="26" t="s">
        <v>276</v>
      </c>
      <c r="I1225" s="40">
        <f>(C13)</f>
        <v>576.79999999999995</v>
      </c>
      <c r="J1225" s="26" t="s">
        <v>196</v>
      </c>
      <c r="K1225" s="40">
        <f>(F1225*I1225)</f>
        <v>1268.96</v>
      </c>
      <c r="M1225" s="40">
        <v>1.1000000000000001</v>
      </c>
      <c r="N1225" s="38" t="s">
        <v>196</v>
      </c>
      <c r="O1225" s="26" t="s">
        <v>276</v>
      </c>
      <c r="P1225" s="40">
        <f>P1220</f>
        <v>576.79999999999995</v>
      </c>
      <c r="Q1225" s="27" t="s">
        <v>196</v>
      </c>
      <c r="R1225" s="40">
        <f t="shared" si="150"/>
        <v>634.48</v>
      </c>
      <c r="T1225" s="28">
        <f t="shared" si="151"/>
        <v>634.48</v>
      </c>
      <c r="AA1225" s="38" t="s">
        <v>106</v>
      </c>
      <c r="AB1225" s="38"/>
      <c r="AC1225" s="26" t="s">
        <v>107</v>
      </c>
      <c r="AD1225" s="48">
        <f t="shared" si="149"/>
        <v>0</v>
      </c>
      <c r="AE1225" s="26" t="s">
        <v>106</v>
      </c>
      <c r="AF1225" s="40">
        <v>0</v>
      </c>
      <c r="AG1225" s="47" t="str">
        <f t="shared" si="148"/>
        <v>|</v>
      </c>
      <c r="AI1225" s="26" t="s">
        <v>685</v>
      </c>
    </row>
    <row r="1226" spans="6:35" ht="24" customHeight="1">
      <c r="F1226" s="76">
        <v>22</v>
      </c>
      <c r="G1226" s="38" t="s">
        <v>392</v>
      </c>
      <c r="H1226" s="26" t="s">
        <v>85</v>
      </c>
      <c r="I1226" s="40">
        <f>(C67)</f>
        <v>5800</v>
      </c>
      <c r="J1226" s="26" t="s">
        <v>84</v>
      </c>
      <c r="K1226" s="40">
        <f>(F1226*I1226)/1000</f>
        <v>127.6</v>
      </c>
      <c r="N1226" s="38" t="s">
        <v>106</v>
      </c>
      <c r="O1226" s="26" t="s">
        <v>107</v>
      </c>
      <c r="Q1226" s="27" t="s">
        <v>106</v>
      </c>
      <c r="R1226" s="40">
        <v>4.5999999999999996</v>
      </c>
      <c r="S1226" s="32">
        <f>3.27-0.52</f>
        <v>2.75</v>
      </c>
      <c r="T1226" s="28">
        <v>2.74</v>
      </c>
      <c r="AA1226" s="29"/>
      <c r="AB1226" s="29"/>
      <c r="AD1226" s="48">
        <f t="shared" si="149"/>
        <v>0</v>
      </c>
      <c r="AE1226" s="31"/>
      <c r="AF1226" s="35" t="s">
        <v>48</v>
      </c>
      <c r="AG1226" s="47" t="str">
        <f t="shared" si="148"/>
        <v>|</v>
      </c>
      <c r="AI1226" s="26" t="s">
        <v>685</v>
      </c>
    </row>
    <row r="1227" spans="6:35" ht="24" customHeight="1">
      <c r="F1227" s="40">
        <v>1.6</v>
      </c>
      <c r="G1227" s="38" t="s">
        <v>196</v>
      </c>
      <c r="H1227" s="26" t="s">
        <v>269</v>
      </c>
      <c r="I1227" s="40">
        <f>(C11)</f>
        <v>1005.1999999999999</v>
      </c>
      <c r="J1227" s="26" t="s">
        <v>196</v>
      </c>
      <c r="K1227" s="40">
        <f>(F1227*I1227)</f>
        <v>1608.32</v>
      </c>
      <c r="N1227" s="29"/>
      <c r="Q1227" s="33"/>
      <c r="R1227" s="35" t="s">
        <v>48</v>
      </c>
      <c r="AA1227" s="29"/>
      <c r="AB1227" s="29"/>
      <c r="AC1227" s="26" t="s">
        <v>401</v>
      </c>
      <c r="AE1227" s="31"/>
      <c r="AF1227" s="40">
        <f>SUM(AF1213:AF1225)</f>
        <v>14994.444399999998</v>
      </c>
      <c r="AG1227" s="47" t="str">
        <f t="shared" si="148"/>
        <v>|::</v>
      </c>
      <c r="AI1227" s="26" t="s">
        <v>469</v>
      </c>
    </row>
    <row r="1228" spans="6:35" ht="24" customHeight="1">
      <c r="F1228" s="40">
        <v>0.5</v>
      </c>
      <c r="G1228" s="38" t="s">
        <v>196</v>
      </c>
      <c r="H1228" s="26" t="s">
        <v>271</v>
      </c>
      <c r="I1228" s="40">
        <f>(C12)</f>
        <v>702.8</v>
      </c>
      <c r="J1228" s="26" t="s">
        <v>196</v>
      </c>
      <c r="K1228" s="40">
        <f>(F1228*I1228)</f>
        <v>351.4</v>
      </c>
      <c r="N1228" s="29"/>
      <c r="O1228" s="26" t="s">
        <v>401</v>
      </c>
      <c r="Q1228" s="33"/>
      <c r="R1228" s="40">
        <f>SUM(R1215:R1226)</f>
        <v>15049.944399999997</v>
      </c>
      <c r="T1228" s="40">
        <f>SUM(T1215:T1227)</f>
        <v>15998.284399999997</v>
      </c>
      <c r="AA1228" s="29"/>
      <c r="AB1228" s="29"/>
      <c r="AE1228" s="31"/>
      <c r="AF1228" s="35" t="s">
        <v>48</v>
      </c>
      <c r="AG1228" s="47">
        <f t="shared" si="148"/>
        <v>0</v>
      </c>
    </row>
    <row r="1229" spans="6:35" ht="24" customHeight="1">
      <c r="F1229" s="40">
        <v>1.1000000000000001</v>
      </c>
      <c r="G1229" s="38" t="s">
        <v>196</v>
      </c>
      <c r="H1229" s="26" t="s">
        <v>276</v>
      </c>
      <c r="I1229" s="40">
        <f>(C13)</f>
        <v>576.79999999999995</v>
      </c>
      <c r="J1229" s="26" t="s">
        <v>196</v>
      </c>
      <c r="K1229" s="40">
        <f>(F1229*I1229)</f>
        <v>634.48</v>
      </c>
      <c r="N1229" s="29"/>
      <c r="Q1229" s="33"/>
      <c r="R1229" s="35" t="s">
        <v>48</v>
      </c>
      <c r="AA1229" s="29"/>
      <c r="AB1229" s="29"/>
      <c r="AC1229" s="42" t="s">
        <v>403</v>
      </c>
      <c r="AE1229" s="31"/>
      <c r="AF1229" s="39">
        <f>(AF1227/10)</f>
        <v>1499.4444399999998</v>
      </c>
      <c r="AG1229" s="47">
        <f t="shared" si="148"/>
        <v>0</v>
      </c>
    </row>
    <row r="1230" spans="6:35" ht="24" customHeight="1">
      <c r="F1230" s="26" t="s">
        <v>49</v>
      </c>
      <c r="H1230" s="26" t="s">
        <v>1498</v>
      </c>
      <c r="I1230" s="26" t="s">
        <v>27</v>
      </c>
      <c r="K1230" s="26" t="s">
        <v>27</v>
      </c>
      <c r="N1230" s="29"/>
      <c r="O1230" s="30" t="s">
        <v>403</v>
      </c>
      <c r="Q1230" s="33"/>
      <c r="R1230" s="39">
        <f>(R1228/10)</f>
        <v>1504.9944399999997</v>
      </c>
      <c r="S1230" s="32">
        <f>R1230-975.62</f>
        <v>529.37443999999971</v>
      </c>
      <c r="T1230" s="39">
        <f>(T1228/10)</f>
        <v>1599.8284399999998</v>
      </c>
      <c r="AA1230" s="29"/>
      <c r="AB1230" s="29"/>
      <c r="AE1230" s="31"/>
      <c r="AF1230" s="35" t="s">
        <v>41</v>
      </c>
      <c r="AG1230" s="47" t="str">
        <f t="shared" si="148"/>
        <v>|</v>
      </c>
      <c r="AI1230" s="26" t="s">
        <v>685</v>
      </c>
    </row>
    <row r="1231" spans="6:35" ht="24" customHeight="1">
      <c r="F1231" s="40">
        <v>1</v>
      </c>
      <c r="G1231" s="38" t="s">
        <v>106</v>
      </c>
      <c r="H1231" s="26" t="s">
        <v>1499</v>
      </c>
      <c r="I1231" s="40">
        <f>(C57)</f>
        <v>35</v>
      </c>
      <c r="J1231" s="26" t="s">
        <v>106</v>
      </c>
      <c r="K1231" s="40">
        <f>(F1231*I1231)</f>
        <v>35</v>
      </c>
      <c r="N1231" s="29"/>
      <c r="O1231" s="184" t="s">
        <v>1500</v>
      </c>
      <c r="P1231" s="41" t="s">
        <v>1501</v>
      </c>
      <c r="Q1231" s="33"/>
      <c r="AG1231" s="47" t="str">
        <f t="shared" si="148"/>
        <v>|</v>
      </c>
      <c r="AI1231" s="26" t="s">
        <v>685</v>
      </c>
    </row>
    <row r="1232" spans="6:35" ht="24" customHeight="1">
      <c r="F1232" s="40">
        <v>1</v>
      </c>
      <c r="G1232" s="38" t="s">
        <v>106</v>
      </c>
      <c r="H1232" s="26" t="s">
        <v>1502</v>
      </c>
      <c r="I1232" s="40">
        <f>(C58)</f>
        <v>15</v>
      </c>
      <c r="J1232" s="26" t="s">
        <v>106</v>
      </c>
      <c r="K1232" s="40">
        <f>(F1232*I1232)</f>
        <v>15</v>
      </c>
      <c r="N1232" s="29"/>
      <c r="Q1232" s="33"/>
      <c r="AG1232" s="47" t="str">
        <f t="shared" si="148"/>
        <v>|</v>
      </c>
      <c r="AI1232" s="26" t="s">
        <v>685</v>
      </c>
    </row>
    <row r="1233" spans="6:35" ht="24" customHeight="1">
      <c r="F1233" s="40">
        <v>1</v>
      </c>
      <c r="G1233" s="38" t="s">
        <v>106</v>
      </c>
      <c r="H1233" s="26" t="s">
        <v>1503</v>
      </c>
      <c r="I1233" s="40">
        <f>(C28)</f>
        <v>84.8</v>
      </c>
      <c r="J1233" s="26" t="s">
        <v>106</v>
      </c>
      <c r="K1233" s="40">
        <f>(F1233*I1233)</f>
        <v>84.8</v>
      </c>
      <c r="M1233" s="186"/>
      <c r="N1233" s="187"/>
      <c r="O1233" s="186"/>
      <c r="P1233" s="186"/>
      <c r="Q1233" s="33"/>
      <c r="AG1233" s="47" t="str">
        <f t="shared" si="148"/>
        <v>|</v>
      </c>
      <c r="AI1233" s="26" t="s">
        <v>685</v>
      </c>
    </row>
    <row r="1234" spans="6:35" ht="24" customHeight="1">
      <c r="F1234" s="40">
        <v>1.1000000000000001</v>
      </c>
      <c r="G1234" s="38" t="s">
        <v>196</v>
      </c>
      <c r="H1234" s="26" t="s">
        <v>1504</v>
      </c>
      <c r="I1234" s="40">
        <f>(C29)</f>
        <v>828.8</v>
      </c>
      <c r="J1234" s="26" t="s">
        <v>196</v>
      </c>
      <c r="K1234" s="40">
        <f>(F1234*I1234)</f>
        <v>911.68000000000006</v>
      </c>
      <c r="M1234" s="40">
        <v>10</v>
      </c>
      <c r="N1234" s="38" t="s">
        <v>438</v>
      </c>
      <c r="O1234" s="26" t="s">
        <v>1505</v>
      </c>
      <c r="P1234" s="188">
        <v>597</v>
      </c>
      <c r="Q1234" s="27" t="s">
        <v>438</v>
      </c>
      <c r="R1234" s="40">
        <f>M1234*P1234</f>
        <v>5970</v>
      </c>
      <c r="T1234" s="29"/>
      <c r="U1234" s="184" t="s">
        <v>1506</v>
      </c>
      <c r="W1234" s="33"/>
      <c r="AG1234" s="47" t="str">
        <f t="shared" si="148"/>
        <v>|</v>
      </c>
      <c r="AI1234" s="26" t="s">
        <v>685</v>
      </c>
    </row>
    <row r="1235" spans="6:35" ht="24" customHeight="1">
      <c r="F1235" s="40">
        <v>2.2000000000000002</v>
      </c>
      <c r="G1235" s="38" t="s">
        <v>196</v>
      </c>
      <c r="H1235" s="26" t="s">
        <v>1507</v>
      </c>
      <c r="I1235" s="40">
        <f>(C13)</f>
        <v>576.79999999999995</v>
      </c>
      <c r="J1235" s="26" t="s">
        <v>196</v>
      </c>
      <c r="K1235" s="40">
        <f>(F1235*I1235)</f>
        <v>1268.96</v>
      </c>
      <c r="M1235" s="40">
        <v>0.21</v>
      </c>
      <c r="N1235" s="38" t="s">
        <v>93</v>
      </c>
      <c r="O1235" s="26" t="s">
        <v>1488</v>
      </c>
      <c r="P1235" s="40">
        <f>P1258</f>
        <v>5671.64</v>
      </c>
      <c r="Q1235" s="27" t="s">
        <v>93</v>
      </c>
      <c r="R1235" s="40">
        <f>(M1235*P1235)</f>
        <v>1191.0444</v>
      </c>
      <c r="T1235" s="29"/>
      <c r="W1235" s="33"/>
      <c r="AG1235" s="47" t="str">
        <f t="shared" si="148"/>
        <v>|</v>
      </c>
      <c r="AI1235" s="26" t="s">
        <v>685</v>
      </c>
    </row>
    <row r="1236" spans="6:35" ht="24" customHeight="1">
      <c r="G1236" s="38" t="s">
        <v>106</v>
      </c>
      <c r="H1236" s="26" t="s">
        <v>107</v>
      </c>
      <c r="J1236" s="26" t="s">
        <v>106</v>
      </c>
      <c r="K1236" s="40">
        <v>0</v>
      </c>
      <c r="M1236" s="40">
        <v>1.1000000000000001</v>
      </c>
      <c r="N1236" s="38" t="s">
        <v>196</v>
      </c>
      <c r="O1236" s="26" t="s">
        <v>298</v>
      </c>
      <c r="P1236" s="40">
        <f t="shared" ref="P1236:P1244" si="152">P1259</f>
        <v>1076.5999999999999</v>
      </c>
      <c r="Q1236" s="27" t="s">
        <v>196</v>
      </c>
      <c r="R1236" s="40">
        <f>(M1236*P1236)</f>
        <v>1184.26</v>
      </c>
      <c r="T1236" s="29"/>
      <c r="W1236" s="33"/>
      <c r="AG1236" s="47" t="str">
        <f t="shared" si="148"/>
        <v>|</v>
      </c>
      <c r="AI1236" s="26" t="s">
        <v>685</v>
      </c>
    </row>
    <row r="1237" spans="6:35" ht="24" customHeight="1">
      <c r="K1237" s="35" t="s">
        <v>48</v>
      </c>
      <c r="M1237" s="40">
        <v>1.1000000000000001</v>
      </c>
      <c r="N1237" s="38" t="s">
        <v>196</v>
      </c>
      <c r="O1237" s="26" t="s">
        <v>269</v>
      </c>
      <c r="P1237" s="40">
        <f t="shared" si="152"/>
        <v>1005.1999999999999</v>
      </c>
      <c r="Q1237" s="27" t="s">
        <v>196</v>
      </c>
      <c r="R1237" s="40">
        <f>(M1237*P1237)</f>
        <v>1105.72</v>
      </c>
      <c r="S1237" s="76">
        <v>10</v>
      </c>
      <c r="T1237" s="38" t="s">
        <v>438</v>
      </c>
      <c r="U1237" s="26" t="s">
        <v>1508</v>
      </c>
      <c r="V1237" s="130">
        <v>700</v>
      </c>
      <c r="W1237" s="27" t="s">
        <v>438</v>
      </c>
      <c r="X1237" s="40">
        <f>S1237*V1237</f>
        <v>7000</v>
      </c>
      <c r="Y1237" s="40"/>
      <c r="Z1237" s="77">
        <v>29.5</v>
      </c>
      <c r="AA1237" s="38" t="s">
        <v>67</v>
      </c>
      <c r="AB1237" s="38"/>
      <c r="AC1237" s="30" t="s">
        <v>1509</v>
      </c>
      <c r="AG1237" s="47" t="str">
        <f t="shared" si="148"/>
        <v>|</v>
      </c>
      <c r="AI1237" s="26" t="s">
        <v>685</v>
      </c>
    </row>
    <row r="1238" spans="6:35" ht="24" customHeight="1">
      <c r="H1238" s="26" t="s">
        <v>401</v>
      </c>
      <c r="K1238" s="40">
        <f>SUM(K1218:K1236)</f>
        <v>13182.824399999998</v>
      </c>
      <c r="M1238" s="40">
        <v>2.2000000000000002</v>
      </c>
      <c r="N1238" s="38" t="s">
        <v>196</v>
      </c>
      <c r="O1238" s="26" t="s">
        <v>271</v>
      </c>
      <c r="P1238" s="40">
        <f t="shared" si="152"/>
        <v>702.8</v>
      </c>
      <c r="Q1238" s="27" t="s">
        <v>196</v>
      </c>
      <c r="R1238" s="40">
        <f>(M1238*P1238)</f>
        <v>1546.16</v>
      </c>
      <c r="S1238" s="76">
        <v>0.21</v>
      </c>
      <c r="T1238" s="38" t="s">
        <v>93</v>
      </c>
      <c r="U1238" s="26" t="s">
        <v>1488</v>
      </c>
      <c r="V1238" s="40">
        <f t="shared" ref="V1238:V1247" si="153">P1258</f>
        <v>5671.64</v>
      </c>
      <c r="W1238" s="27" t="s">
        <v>93</v>
      </c>
      <c r="X1238" s="40">
        <f>(S1238*V1238)</f>
        <v>1191.0444</v>
      </c>
      <c r="Y1238" s="40"/>
      <c r="AA1238" s="29"/>
      <c r="AB1238" s="29"/>
      <c r="AC1238" s="26"/>
      <c r="AG1238" s="47" t="str">
        <f t="shared" si="148"/>
        <v>|</v>
      </c>
      <c r="AI1238" s="26" t="s">
        <v>685</v>
      </c>
    </row>
    <row r="1239" spans="6:35" ht="24" customHeight="1">
      <c r="K1239" s="35" t="s">
        <v>48</v>
      </c>
      <c r="M1239" s="40">
        <v>2.2000000000000002</v>
      </c>
      <c r="N1239" s="38" t="s">
        <v>196</v>
      </c>
      <c r="O1239" s="26" t="s">
        <v>276</v>
      </c>
      <c r="P1239" s="40">
        <f t="shared" si="152"/>
        <v>576.79999999999995</v>
      </c>
      <c r="Q1239" s="27" t="s">
        <v>196</v>
      </c>
      <c r="R1239" s="40">
        <f>(M1239*P1239)</f>
        <v>1268.96</v>
      </c>
      <c r="S1239" s="76">
        <v>1.1000000000000001</v>
      </c>
      <c r="T1239" s="38" t="s">
        <v>196</v>
      </c>
      <c r="U1239" s="26" t="s">
        <v>298</v>
      </c>
      <c r="V1239" s="40">
        <f t="shared" si="153"/>
        <v>1076.5999999999999</v>
      </c>
      <c r="W1239" s="27" t="s">
        <v>196</v>
      </c>
      <c r="X1239" s="40">
        <f>(S1239*V1239)</f>
        <v>1184.26</v>
      </c>
      <c r="Y1239" s="40"/>
      <c r="AA1239" s="29"/>
      <c r="AB1239" s="29"/>
      <c r="AC1239" s="26"/>
      <c r="AG1239" s="47" t="str">
        <f t="shared" si="148"/>
        <v>|</v>
      </c>
      <c r="AI1239" s="26" t="s">
        <v>685</v>
      </c>
    </row>
    <row r="1240" spans="6:35" ht="24" customHeight="1">
      <c r="F1240" s="26" t="s">
        <v>27</v>
      </c>
      <c r="M1240" s="76">
        <v>20</v>
      </c>
      <c r="N1240" s="38" t="s">
        <v>392</v>
      </c>
      <c r="O1240" s="26" t="s">
        <v>85</v>
      </c>
      <c r="P1240" s="40">
        <f t="shared" si="152"/>
        <v>5800</v>
      </c>
      <c r="Q1240" s="27" t="s">
        <v>84</v>
      </c>
      <c r="R1240" s="40">
        <f>(M1240*P1240)/1000</f>
        <v>116</v>
      </c>
      <c r="S1240" s="76">
        <v>1.1000000000000001</v>
      </c>
      <c r="T1240" s="38" t="s">
        <v>196</v>
      </c>
      <c r="U1240" s="26" t="s">
        <v>269</v>
      </c>
      <c r="V1240" s="40">
        <f t="shared" si="153"/>
        <v>1005.1999999999999</v>
      </c>
      <c r="W1240" s="27" t="s">
        <v>196</v>
      </c>
      <c r="X1240" s="40">
        <f>(S1240*V1240)</f>
        <v>1105.72</v>
      </c>
      <c r="Y1240" s="40"/>
      <c r="AA1240" s="29"/>
      <c r="AB1240" s="29"/>
      <c r="AC1240" s="35" t="s">
        <v>48</v>
      </c>
      <c r="AD1240" s="35" t="s">
        <v>48</v>
      </c>
      <c r="AE1240" s="31"/>
      <c r="AG1240" s="47" t="str">
        <f t="shared" si="148"/>
        <v>|</v>
      </c>
      <c r="AI1240" s="26" t="s">
        <v>685</v>
      </c>
    </row>
    <row r="1241" spans="6:35" ht="45.75" customHeight="1">
      <c r="H1241" s="42" t="s">
        <v>403</v>
      </c>
      <c r="K1241" s="39">
        <f>(K1238/10)</f>
        <v>1318.2824399999997</v>
      </c>
      <c r="M1241" s="76">
        <v>2</v>
      </c>
      <c r="N1241" s="38" t="s">
        <v>392</v>
      </c>
      <c r="O1241" s="26" t="s">
        <v>1510</v>
      </c>
      <c r="P1241" s="40">
        <f t="shared" si="152"/>
        <v>36.1</v>
      </c>
      <c r="Q1241" s="27" t="s">
        <v>392</v>
      </c>
      <c r="R1241" s="40">
        <f>(M1241*P1241)</f>
        <v>72.2</v>
      </c>
      <c r="S1241" s="76">
        <v>2.2000000000000002</v>
      </c>
      <c r="T1241" s="38" t="s">
        <v>196</v>
      </c>
      <c r="U1241" s="26" t="s">
        <v>271</v>
      </c>
      <c r="V1241" s="40">
        <f t="shared" si="153"/>
        <v>702.8</v>
      </c>
      <c r="W1241" s="27" t="s">
        <v>196</v>
      </c>
      <c r="X1241" s="40">
        <f>(S1241*V1241)</f>
        <v>1546.16</v>
      </c>
      <c r="Y1241" s="40"/>
      <c r="Z1241" s="40">
        <v>10</v>
      </c>
      <c r="AA1241" s="38" t="s">
        <v>438</v>
      </c>
      <c r="AB1241" s="38"/>
      <c r="AC1241" s="92" t="s">
        <v>1511</v>
      </c>
      <c r="AD1241" s="49">
        <v>756</v>
      </c>
      <c r="AE1241" s="26" t="s">
        <v>438</v>
      </c>
      <c r="AF1241" s="40">
        <f>(Z1241*AD1241)</f>
        <v>7560</v>
      </c>
      <c r="AG1241" s="47" t="str">
        <f t="shared" si="148"/>
        <v>|</v>
      </c>
      <c r="AI1241" s="26" t="s">
        <v>685</v>
      </c>
    </row>
    <row r="1242" spans="6:35" ht="24" customHeight="1">
      <c r="F1242" s="26" t="s">
        <v>27</v>
      </c>
      <c r="M1242" s="40">
        <v>1.6</v>
      </c>
      <c r="N1242" s="38" t="s">
        <v>196</v>
      </c>
      <c r="O1242" s="26" t="s">
        <v>269</v>
      </c>
      <c r="P1242" s="40">
        <f t="shared" si="152"/>
        <v>1005.1999999999999</v>
      </c>
      <c r="Q1242" s="27" t="s">
        <v>196</v>
      </c>
      <c r="R1242" s="40">
        <f>(M1242*P1242)</f>
        <v>1608.32</v>
      </c>
      <c r="S1242" s="76">
        <v>2.2000000000000002</v>
      </c>
      <c r="T1242" s="38" t="s">
        <v>196</v>
      </c>
      <c r="U1242" s="26" t="s">
        <v>276</v>
      </c>
      <c r="V1242" s="40">
        <f t="shared" si="153"/>
        <v>576.79999999999995</v>
      </c>
      <c r="W1242" s="27" t="s">
        <v>196</v>
      </c>
      <c r="X1242" s="40">
        <f>(S1242*V1242)</f>
        <v>1268.96</v>
      </c>
      <c r="Y1242" s="40"/>
      <c r="Z1242" s="40">
        <v>0.21</v>
      </c>
      <c r="AA1242" s="38" t="s">
        <v>93</v>
      </c>
      <c r="AB1242" s="38"/>
      <c r="AC1242" s="26" t="s">
        <v>1488</v>
      </c>
      <c r="AD1242" s="40">
        <f>V1238</f>
        <v>5671.64</v>
      </c>
      <c r="AE1242" s="26" t="s">
        <v>93</v>
      </c>
      <c r="AF1242" s="40">
        <f>(Z1242*AD1242)</f>
        <v>1191.0444</v>
      </c>
      <c r="AG1242" s="47" t="str">
        <f t="shared" si="148"/>
        <v>|</v>
      </c>
      <c r="AI1242" s="26" t="s">
        <v>685</v>
      </c>
    </row>
    <row r="1243" spans="6:35" ht="24" customHeight="1">
      <c r="K1243" s="35" t="s">
        <v>41</v>
      </c>
      <c r="M1243" s="40">
        <v>0.5</v>
      </c>
      <c r="N1243" s="38" t="s">
        <v>196</v>
      </c>
      <c r="O1243" s="26" t="s">
        <v>271</v>
      </c>
      <c r="P1243" s="40">
        <f t="shared" si="152"/>
        <v>702.8</v>
      </c>
      <c r="Q1243" s="27" t="s">
        <v>196</v>
      </c>
      <c r="R1243" s="40">
        <f>(M1243*P1243)</f>
        <v>351.4</v>
      </c>
      <c r="S1243" s="76">
        <v>20</v>
      </c>
      <c r="T1243" s="38" t="s">
        <v>392</v>
      </c>
      <c r="U1243" s="26" t="s">
        <v>85</v>
      </c>
      <c r="V1243" s="40">
        <f t="shared" si="153"/>
        <v>5800</v>
      </c>
      <c r="W1243" s="27" t="s">
        <v>84</v>
      </c>
      <c r="X1243" s="40">
        <f>(S1243*V1243)/1000</f>
        <v>116</v>
      </c>
      <c r="Y1243" s="40"/>
      <c r="AA1243" s="29"/>
      <c r="AB1243" s="29"/>
      <c r="AC1243" s="26" t="s">
        <v>1492</v>
      </c>
      <c r="AD1243" s="26" t="s">
        <v>27</v>
      </c>
      <c r="AE1243" s="31"/>
      <c r="AF1243" s="26" t="s">
        <v>27</v>
      </c>
      <c r="AG1243" s="47" t="str">
        <f t="shared" si="148"/>
        <v>|</v>
      </c>
      <c r="AI1243" s="26" t="s">
        <v>685</v>
      </c>
    </row>
    <row r="1244" spans="6:35" ht="24" customHeight="1">
      <c r="F1244" s="77">
        <v>29.5</v>
      </c>
      <c r="G1244" s="38" t="s">
        <v>67</v>
      </c>
      <c r="H1244" s="26" t="s">
        <v>1512</v>
      </c>
      <c r="M1244" s="40">
        <v>1.1000000000000001</v>
      </c>
      <c r="N1244" s="38" t="s">
        <v>196</v>
      </c>
      <c r="O1244" s="26" t="s">
        <v>276</v>
      </c>
      <c r="P1244" s="40">
        <f t="shared" si="152"/>
        <v>576.79999999999995</v>
      </c>
      <c r="Q1244" s="27" t="s">
        <v>196</v>
      </c>
      <c r="R1244" s="40">
        <f>(M1244*P1244)</f>
        <v>634.48</v>
      </c>
      <c r="S1244" s="76">
        <v>2</v>
      </c>
      <c r="T1244" s="38" t="s">
        <v>392</v>
      </c>
      <c r="U1244" s="26" t="s">
        <v>1510</v>
      </c>
      <c r="V1244" s="40">
        <f t="shared" si="153"/>
        <v>36.1</v>
      </c>
      <c r="W1244" s="27" t="s">
        <v>392</v>
      </c>
      <c r="X1244" s="40">
        <f>(S1244*V1244)</f>
        <v>72.2</v>
      </c>
      <c r="Y1244" s="40"/>
      <c r="Z1244" s="40">
        <v>1.1000000000000001</v>
      </c>
      <c r="AA1244" s="38" t="s">
        <v>196</v>
      </c>
      <c r="AB1244" s="38"/>
      <c r="AC1244" s="26" t="s">
        <v>298</v>
      </c>
      <c r="AD1244" s="40">
        <f>V1239</f>
        <v>1076.5999999999999</v>
      </c>
      <c r="AE1244" s="26" t="s">
        <v>196</v>
      </c>
      <c r="AF1244" s="40">
        <f>(Z1244*AD1244)</f>
        <v>1184.26</v>
      </c>
      <c r="AG1244" s="47" t="str">
        <f t="shared" si="148"/>
        <v>|</v>
      </c>
      <c r="AI1244" s="26" t="s">
        <v>685</v>
      </c>
    </row>
    <row r="1245" spans="6:35" ht="24" customHeight="1">
      <c r="H1245" s="26" t="s">
        <v>1513</v>
      </c>
      <c r="N1245" s="38" t="s">
        <v>106</v>
      </c>
      <c r="O1245" s="26" t="s">
        <v>107</v>
      </c>
      <c r="Q1245" s="27" t="s">
        <v>106</v>
      </c>
      <c r="R1245" s="40">
        <v>0</v>
      </c>
      <c r="S1245" s="76">
        <v>1.6</v>
      </c>
      <c r="T1245" s="38" t="s">
        <v>196</v>
      </c>
      <c r="U1245" s="26" t="s">
        <v>269</v>
      </c>
      <c r="V1245" s="40">
        <f t="shared" si="153"/>
        <v>1005.1999999999999</v>
      </c>
      <c r="W1245" s="27" t="s">
        <v>196</v>
      </c>
      <c r="X1245" s="40">
        <f>(S1245*V1245)</f>
        <v>1608.32</v>
      </c>
      <c r="Y1245" s="40"/>
      <c r="Z1245" s="40">
        <v>1.1000000000000001</v>
      </c>
      <c r="AA1245" s="38" t="s">
        <v>196</v>
      </c>
      <c r="AB1245" s="38"/>
      <c r="AC1245" s="26" t="s">
        <v>269</v>
      </c>
      <c r="AD1245" s="40">
        <f>V1240</f>
        <v>1005.1999999999999</v>
      </c>
      <c r="AE1245" s="26" t="s">
        <v>196</v>
      </c>
      <c r="AF1245" s="40">
        <f>(Z1245*AD1245)</f>
        <v>1105.72</v>
      </c>
      <c r="AG1245" s="47" t="str">
        <f t="shared" si="148"/>
        <v>|</v>
      </c>
      <c r="AI1245" s="26" t="s">
        <v>685</v>
      </c>
    </row>
    <row r="1246" spans="6:35" ht="24" customHeight="1">
      <c r="H1246" s="26" t="s">
        <v>1514</v>
      </c>
      <c r="N1246" s="29"/>
      <c r="Q1246" s="33"/>
      <c r="R1246" s="35"/>
      <c r="S1246" s="76">
        <v>0.5</v>
      </c>
      <c r="T1246" s="38" t="s">
        <v>196</v>
      </c>
      <c r="U1246" s="26" t="s">
        <v>271</v>
      </c>
      <c r="V1246" s="40">
        <f t="shared" si="153"/>
        <v>702.8</v>
      </c>
      <c r="W1246" s="27" t="s">
        <v>196</v>
      </c>
      <c r="X1246" s="40">
        <f>(S1246*V1246)</f>
        <v>351.4</v>
      </c>
      <c r="Y1246" s="40"/>
      <c r="Z1246" s="40">
        <v>2.2000000000000002</v>
      </c>
      <c r="AA1246" s="38" t="s">
        <v>196</v>
      </c>
      <c r="AB1246" s="38"/>
      <c r="AC1246" s="26" t="s">
        <v>271</v>
      </c>
      <c r="AD1246" s="40">
        <f>V1241</f>
        <v>702.8</v>
      </c>
      <c r="AE1246" s="26" t="s">
        <v>196</v>
      </c>
      <c r="AF1246" s="40">
        <f>(Z1246*AD1246)</f>
        <v>1546.16</v>
      </c>
      <c r="AG1246" s="47" t="str">
        <f t="shared" si="148"/>
        <v>|</v>
      </c>
      <c r="AI1246" s="26" t="s">
        <v>685</v>
      </c>
    </row>
    <row r="1247" spans="6:35" ht="24" customHeight="1">
      <c r="H1247" s="35" t="s">
        <v>48</v>
      </c>
      <c r="I1247" s="35" t="s">
        <v>48</v>
      </c>
      <c r="N1247" s="29"/>
      <c r="O1247" s="26" t="s">
        <v>401</v>
      </c>
      <c r="Q1247" s="33"/>
      <c r="R1247" s="40">
        <f>SUM(R1234:R1245)</f>
        <v>15048.544399999997</v>
      </c>
      <c r="S1247" s="76">
        <v>1.1000000000000001</v>
      </c>
      <c r="T1247" s="38" t="s">
        <v>196</v>
      </c>
      <c r="U1247" s="26" t="s">
        <v>276</v>
      </c>
      <c r="V1247" s="40">
        <f t="shared" si="153"/>
        <v>576.79999999999995</v>
      </c>
      <c r="W1247" s="27" t="s">
        <v>196</v>
      </c>
      <c r="X1247" s="40">
        <f>(S1247*V1247)</f>
        <v>634.48</v>
      </c>
      <c r="Y1247" s="40"/>
      <c r="Z1247" s="40">
        <v>2.2000000000000002</v>
      </c>
      <c r="AA1247" s="38" t="s">
        <v>196</v>
      </c>
      <c r="AB1247" s="38"/>
      <c r="AC1247" s="26" t="s">
        <v>276</v>
      </c>
      <c r="AD1247" s="40">
        <f>V1242</f>
        <v>576.79999999999995</v>
      </c>
      <c r="AE1247" s="26" t="s">
        <v>196</v>
      </c>
      <c r="AF1247" s="40">
        <f>(Z1247*AD1247)</f>
        <v>1268.96</v>
      </c>
      <c r="AG1247" s="47" t="str">
        <f t="shared" si="148"/>
        <v>|</v>
      </c>
      <c r="AI1247" s="26" t="s">
        <v>685</v>
      </c>
    </row>
    <row r="1248" spans="6:35" ht="24" customHeight="1">
      <c r="F1248" s="40">
        <v>10</v>
      </c>
      <c r="G1248" s="38" t="s">
        <v>438</v>
      </c>
      <c r="H1248" s="26" t="s">
        <v>1515</v>
      </c>
      <c r="I1248" s="48">
        <f>C601</f>
        <v>346.14</v>
      </c>
      <c r="J1248" s="26" t="s">
        <v>438</v>
      </c>
      <c r="K1248" s="40">
        <f>(F1248*I1248)</f>
        <v>3461.3999999999996</v>
      </c>
      <c r="N1248" s="29"/>
      <c r="Q1248" s="33"/>
      <c r="R1248" s="35" t="s">
        <v>48</v>
      </c>
      <c r="T1248" s="38" t="s">
        <v>106</v>
      </c>
      <c r="U1248" s="26" t="s">
        <v>107</v>
      </c>
      <c r="W1248" s="27" t="s">
        <v>106</v>
      </c>
      <c r="X1248" s="40">
        <v>0.18</v>
      </c>
      <c r="Y1248" s="40"/>
      <c r="Z1248" s="76">
        <v>20</v>
      </c>
      <c r="AA1248" s="38" t="s">
        <v>392</v>
      </c>
      <c r="AB1248" s="38"/>
      <c r="AC1248" s="26" t="s">
        <v>85</v>
      </c>
      <c r="AD1248" s="40">
        <f>V1243</f>
        <v>5800</v>
      </c>
      <c r="AE1248" s="26" t="s">
        <v>84</v>
      </c>
      <c r="AF1248" s="40">
        <f>(Z1248*AD1248)/1000</f>
        <v>116</v>
      </c>
      <c r="AG1248" s="47" t="str">
        <f t="shared" si="148"/>
        <v>|</v>
      </c>
      <c r="AI1248" s="26" t="s">
        <v>685</v>
      </c>
    </row>
    <row r="1249" spans="6:35" ht="24" customHeight="1">
      <c r="F1249" s="40">
        <v>0.21</v>
      </c>
      <c r="G1249" s="38" t="s">
        <v>93</v>
      </c>
      <c r="H1249" s="26" t="s">
        <v>1488</v>
      </c>
      <c r="I1249" s="40">
        <f>(K32)</f>
        <v>5671.64</v>
      </c>
      <c r="J1249" s="26" t="s">
        <v>93</v>
      </c>
      <c r="K1249" s="40">
        <f>(F1249*I1249)</f>
        <v>1191.0444</v>
      </c>
      <c r="N1249" s="29"/>
      <c r="O1249" s="30" t="s">
        <v>403</v>
      </c>
      <c r="Q1249" s="33"/>
      <c r="R1249" s="39">
        <f>(R1247/10)</f>
        <v>1504.8544399999996</v>
      </c>
      <c r="T1249" s="29"/>
      <c r="W1249" s="33"/>
      <c r="X1249" s="35" t="s">
        <v>48</v>
      </c>
      <c r="Y1249" s="35"/>
      <c r="Z1249" s="76">
        <v>2</v>
      </c>
      <c r="AA1249" s="38" t="s">
        <v>392</v>
      </c>
      <c r="AB1249" s="38"/>
      <c r="AC1249" s="26" t="s">
        <v>1496</v>
      </c>
      <c r="AD1249" s="40">
        <v>36.1</v>
      </c>
      <c r="AE1249" s="26" t="s">
        <v>392</v>
      </c>
      <c r="AF1249" s="40">
        <f>(Z1249*AD1249)</f>
        <v>72.2</v>
      </c>
      <c r="AG1249" s="47">
        <f t="shared" si="148"/>
        <v>0</v>
      </c>
    </row>
    <row r="1250" spans="6:35" ht="24" customHeight="1">
      <c r="H1250" s="26" t="s">
        <v>1492</v>
      </c>
      <c r="I1250" s="26" t="s">
        <v>27</v>
      </c>
      <c r="K1250" s="26" t="s">
        <v>27</v>
      </c>
      <c r="N1250" s="29"/>
      <c r="Q1250" s="33"/>
      <c r="R1250" s="35"/>
      <c r="T1250" s="29"/>
      <c r="U1250" s="26" t="s">
        <v>401</v>
      </c>
      <c r="W1250" s="33"/>
      <c r="X1250" s="40">
        <f>SUM(X1237:X1248)</f>
        <v>16078.724399999997</v>
      </c>
      <c r="Y1250" s="40"/>
      <c r="Z1250" s="40">
        <v>1.6</v>
      </c>
      <c r="AA1250" s="38" t="s">
        <v>196</v>
      </c>
      <c r="AB1250" s="38"/>
      <c r="AC1250" s="26" t="s">
        <v>269</v>
      </c>
      <c r="AD1250" s="40">
        <f>V1245</f>
        <v>1005.1999999999999</v>
      </c>
      <c r="AE1250" s="26" t="s">
        <v>196</v>
      </c>
      <c r="AF1250" s="40">
        <f>(Z1250*AD1250)</f>
        <v>1608.32</v>
      </c>
      <c r="AG1250" s="47" t="str">
        <f t="shared" si="148"/>
        <v>|</v>
      </c>
      <c r="AI1250" s="26" t="s">
        <v>685</v>
      </c>
    </row>
    <row r="1251" spans="6:35" ht="24" customHeight="1">
      <c r="F1251" s="40">
        <v>1.1000000000000001</v>
      </c>
      <c r="G1251" s="38" t="s">
        <v>196</v>
      </c>
      <c r="H1251" s="26" t="s">
        <v>298</v>
      </c>
      <c r="I1251" s="40">
        <f>(C10)</f>
        <v>1076.5999999999999</v>
      </c>
      <c r="J1251" s="26" t="s">
        <v>196</v>
      </c>
      <c r="K1251" s="40">
        <f>(F1251*I1251)</f>
        <v>1184.26</v>
      </c>
      <c r="N1251" s="29"/>
      <c r="Q1251" s="33"/>
      <c r="R1251" s="35"/>
      <c r="T1251" s="29"/>
      <c r="W1251" s="33"/>
      <c r="X1251" s="35" t="s">
        <v>48</v>
      </c>
      <c r="Y1251" s="35"/>
      <c r="Z1251" s="40">
        <v>0.5</v>
      </c>
      <c r="AA1251" s="38" t="s">
        <v>196</v>
      </c>
      <c r="AB1251" s="38"/>
      <c r="AC1251" s="26" t="s">
        <v>271</v>
      </c>
      <c r="AD1251" s="40">
        <f>V1246</f>
        <v>702.8</v>
      </c>
      <c r="AE1251" s="26" t="s">
        <v>196</v>
      </c>
      <c r="AF1251" s="40">
        <f>(Z1251*AD1251)</f>
        <v>351.4</v>
      </c>
      <c r="AG1251" s="47">
        <f t="shared" si="148"/>
        <v>0</v>
      </c>
    </row>
    <row r="1252" spans="6:35" ht="24" customHeight="1">
      <c r="F1252" s="40">
        <v>1.1000000000000001</v>
      </c>
      <c r="G1252" s="38" t="s">
        <v>196</v>
      </c>
      <c r="H1252" s="26" t="s">
        <v>269</v>
      </c>
      <c r="I1252" s="40">
        <f>(C11)</f>
        <v>1005.1999999999999</v>
      </c>
      <c r="J1252" s="26" t="s">
        <v>196</v>
      </c>
      <c r="K1252" s="40">
        <f>(F1252*I1252)</f>
        <v>1105.72</v>
      </c>
      <c r="N1252" s="29"/>
      <c r="Q1252" s="33"/>
      <c r="R1252" s="35"/>
      <c r="T1252" s="29"/>
      <c r="U1252" s="30" t="s">
        <v>403</v>
      </c>
      <c r="W1252" s="33"/>
      <c r="X1252" s="39">
        <f>(X1250/10)</f>
        <v>1607.8724399999996</v>
      </c>
      <c r="Y1252" s="39"/>
      <c r="Z1252" s="40">
        <v>1.1000000000000001</v>
      </c>
      <c r="AA1252" s="38" t="s">
        <v>196</v>
      </c>
      <c r="AB1252" s="38"/>
      <c r="AC1252" s="26" t="s">
        <v>276</v>
      </c>
      <c r="AD1252" s="40">
        <f>V1247</f>
        <v>576.79999999999995</v>
      </c>
      <c r="AE1252" s="26" t="s">
        <v>196</v>
      </c>
      <c r="AF1252" s="40">
        <f>(Z1252*AD1252)</f>
        <v>634.48</v>
      </c>
      <c r="AG1252" s="47" t="str">
        <f t="shared" si="148"/>
        <v>|</v>
      </c>
      <c r="AI1252" s="26" t="s">
        <v>685</v>
      </c>
    </row>
    <row r="1253" spans="6:35" ht="24" customHeight="1">
      <c r="F1253" s="40">
        <v>2.2000000000000002</v>
      </c>
      <c r="G1253" s="38" t="s">
        <v>196</v>
      </c>
      <c r="H1253" s="26" t="s">
        <v>271</v>
      </c>
      <c r="I1253" s="40">
        <f>(C12)</f>
        <v>702.8</v>
      </c>
      <c r="J1253" s="26" t="s">
        <v>196</v>
      </c>
      <c r="K1253" s="40">
        <f>(F1253*I1253)</f>
        <v>1546.16</v>
      </c>
      <c r="N1253" s="29"/>
      <c r="Q1253" s="33"/>
      <c r="R1253" s="35"/>
      <c r="AA1253" s="38" t="s">
        <v>106</v>
      </c>
      <c r="AB1253" s="38"/>
      <c r="AC1253" s="26" t="s">
        <v>107</v>
      </c>
      <c r="AD1253" s="40">
        <f>V1248</f>
        <v>0</v>
      </c>
      <c r="AE1253" s="26" t="s">
        <v>106</v>
      </c>
      <c r="AF1253" s="40">
        <v>0</v>
      </c>
      <c r="AG1253" s="47" t="str">
        <f t="shared" si="148"/>
        <v>|</v>
      </c>
      <c r="AI1253" s="26" t="s">
        <v>685</v>
      </c>
    </row>
    <row r="1254" spans="6:35" ht="24" customHeight="1">
      <c r="F1254" s="40">
        <v>2.2000000000000002</v>
      </c>
      <c r="G1254" s="38" t="s">
        <v>196</v>
      </c>
      <c r="H1254" s="26" t="s">
        <v>276</v>
      </c>
      <c r="I1254" s="40">
        <f>(C13)</f>
        <v>576.79999999999995</v>
      </c>
      <c r="J1254" s="26" t="s">
        <v>196</v>
      </c>
      <c r="K1254" s="40">
        <f>(F1254*I1254)</f>
        <v>1268.96</v>
      </c>
      <c r="M1254" s="189"/>
      <c r="N1254" s="190"/>
      <c r="O1254" s="191" t="s">
        <v>1516</v>
      </c>
      <c r="P1254" s="189"/>
      <c r="Q1254" s="192" t="s">
        <v>1517</v>
      </c>
      <c r="R1254" s="189"/>
      <c r="AA1254" s="29"/>
      <c r="AB1254" s="29"/>
      <c r="AE1254" s="31"/>
      <c r="AF1254" s="35" t="s">
        <v>48</v>
      </c>
      <c r="AG1254" s="47" t="str">
        <f t="shared" si="148"/>
        <v>|</v>
      </c>
      <c r="AI1254" s="26" t="s">
        <v>685</v>
      </c>
    </row>
    <row r="1255" spans="6:35" ht="24" customHeight="1">
      <c r="F1255" s="76">
        <v>20</v>
      </c>
      <c r="G1255" s="38" t="s">
        <v>392</v>
      </c>
      <c r="H1255" s="26" t="s">
        <v>85</v>
      </c>
      <c r="I1255" s="40">
        <f>(C67)</f>
        <v>5800</v>
      </c>
      <c r="J1255" s="26" t="s">
        <v>84</v>
      </c>
      <c r="K1255" s="40">
        <f>(F1255*I1255)/1000</f>
        <v>116</v>
      </c>
      <c r="M1255" s="189"/>
      <c r="N1255" s="190"/>
      <c r="O1255" s="189"/>
      <c r="P1255" s="189"/>
      <c r="Q1255" s="192"/>
      <c r="R1255" s="189"/>
      <c r="AA1255" s="29"/>
      <c r="AB1255" s="29"/>
      <c r="AC1255" s="26" t="s">
        <v>401</v>
      </c>
      <c r="AE1255" s="31"/>
      <c r="AF1255" s="40">
        <f>SUM(AF1241:AF1253)</f>
        <v>16638.544400000002</v>
      </c>
      <c r="AG1255" s="47" t="str">
        <f t="shared" si="148"/>
        <v>|</v>
      </c>
      <c r="AI1255" s="26" t="s">
        <v>685</v>
      </c>
    </row>
    <row r="1256" spans="6:35" ht="24" customHeight="1">
      <c r="F1256" s="76">
        <v>2</v>
      </c>
      <c r="G1256" s="38" t="s">
        <v>392</v>
      </c>
      <c r="H1256" s="79" t="s">
        <v>1518</v>
      </c>
      <c r="I1256" s="133">
        <v>36.1</v>
      </c>
      <c r="J1256" s="26" t="s">
        <v>392</v>
      </c>
      <c r="K1256" s="40">
        <f>(F1256*I1256)</f>
        <v>72.2</v>
      </c>
      <c r="M1256" s="193"/>
      <c r="N1256" s="194"/>
      <c r="O1256" s="193"/>
      <c r="P1256" s="193"/>
      <c r="Q1256" s="192"/>
      <c r="R1256" s="189"/>
      <c r="AA1256" s="29"/>
      <c r="AB1256" s="29"/>
      <c r="AE1256" s="31"/>
      <c r="AF1256" s="35" t="s">
        <v>48</v>
      </c>
      <c r="AG1256" s="47" t="str">
        <f t="shared" si="148"/>
        <v>|</v>
      </c>
      <c r="AI1256" s="26" t="s">
        <v>685</v>
      </c>
    </row>
    <row r="1257" spans="6:35" ht="24" customHeight="1">
      <c r="F1257" s="40">
        <v>1.6</v>
      </c>
      <c r="G1257" s="38" t="s">
        <v>196</v>
      </c>
      <c r="H1257" s="26" t="s">
        <v>269</v>
      </c>
      <c r="I1257" s="40">
        <f>(C11)</f>
        <v>1005.1999999999999</v>
      </c>
      <c r="J1257" s="26" t="s">
        <v>196</v>
      </c>
      <c r="K1257" s="40">
        <f>(F1257*I1257)</f>
        <v>1608.32</v>
      </c>
      <c r="M1257" s="195">
        <v>10</v>
      </c>
      <c r="N1257" s="196" t="s">
        <v>438</v>
      </c>
      <c r="O1257" s="197" t="s">
        <v>1519</v>
      </c>
      <c r="P1257" s="198">
        <v>421.3</v>
      </c>
      <c r="Q1257" s="199" t="s">
        <v>438</v>
      </c>
      <c r="R1257" s="200">
        <f>M1257*P1257</f>
        <v>4213</v>
      </c>
      <c r="AA1257" s="29"/>
      <c r="AB1257" s="29"/>
      <c r="AC1257" s="42" t="s">
        <v>403</v>
      </c>
      <c r="AE1257" s="31"/>
      <c r="AF1257" s="39">
        <f>(AF1255/10)</f>
        <v>1663.8544400000003</v>
      </c>
      <c r="AG1257" s="201" t="s">
        <v>1520</v>
      </c>
      <c r="AI1257" s="26" t="s">
        <v>685</v>
      </c>
    </row>
    <row r="1258" spans="6:35" ht="24" customHeight="1">
      <c r="F1258" s="40">
        <v>0.5</v>
      </c>
      <c r="G1258" s="38" t="s">
        <v>196</v>
      </c>
      <c r="H1258" s="26" t="s">
        <v>271</v>
      </c>
      <c r="I1258" s="40">
        <f>(C12)</f>
        <v>702.8</v>
      </c>
      <c r="J1258" s="26" t="s">
        <v>196</v>
      </c>
      <c r="K1258" s="40">
        <f>(F1258*I1258)</f>
        <v>351.4</v>
      </c>
      <c r="M1258" s="200">
        <v>0.21</v>
      </c>
      <c r="N1258" s="202" t="s">
        <v>93</v>
      </c>
      <c r="O1258" s="203" t="s">
        <v>1488</v>
      </c>
      <c r="P1258" s="200">
        <f t="shared" ref="P1258:P1263" si="154">P1216</f>
        <v>5671.64</v>
      </c>
      <c r="Q1258" s="199" t="s">
        <v>93</v>
      </c>
      <c r="R1258" s="200">
        <f t="shared" ref="R1258:R1267" si="155">(M1258*P1258)</f>
        <v>1191.0444</v>
      </c>
      <c r="AA1258" s="29"/>
      <c r="AB1258" s="29"/>
      <c r="AE1258" s="31"/>
      <c r="AF1258" s="35" t="s">
        <v>41</v>
      </c>
      <c r="AG1258" s="47" t="str">
        <f t="shared" si="148"/>
        <v>|</v>
      </c>
      <c r="AI1258" s="26" t="s">
        <v>685</v>
      </c>
    </row>
    <row r="1259" spans="6:35" ht="24" customHeight="1">
      <c r="F1259" s="40">
        <v>1.1000000000000001</v>
      </c>
      <c r="G1259" s="38" t="s">
        <v>196</v>
      </c>
      <c r="H1259" s="26" t="s">
        <v>276</v>
      </c>
      <c r="I1259" s="40">
        <f>(C13)</f>
        <v>576.79999999999995</v>
      </c>
      <c r="J1259" s="26" t="s">
        <v>196</v>
      </c>
      <c r="K1259" s="40">
        <f>(F1259*I1259)</f>
        <v>634.48</v>
      </c>
      <c r="M1259" s="200">
        <v>1.1000000000000001</v>
      </c>
      <c r="N1259" s="202" t="s">
        <v>196</v>
      </c>
      <c r="O1259" s="203" t="s">
        <v>298</v>
      </c>
      <c r="P1259" s="200">
        <f t="shared" si="154"/>
        <v>1076.5999999999999</v>
      </c>
      <c r="Q1259" s="199" t="s">
        <v>196</v>
      </c>
      <c r="R1259" s="200">
        <f t="shared" si="155"/>
        <v>1184.26</v>
      </c>
      <c r="Z1259" s="77">
        <v>29.4</v>
      </c>
      <c r="AA1259" s="38" t="s">
        <v>67</v>
      </c>
      <c r="AB1259" s="38"/>
      <c r="AC1259" s="26" t="s">
        <v>1521</v>
      </c>
      <c r="AG1259" s="47" t="str">
        <f t="shared" si="148"/>
        <v>|</v>
      </c>
      <c r="AI1259" s="26" t="s">
        <v>685</v>
      </c>
    </row>
    <row r="1260" spans="6:35" ht="24" customHeight="1">
      <c r="G1260" s="38" t="s">
        <v>106</v>
      </c>
      <c r="H1260" s="26" t="s">
        <v>107</v>
      </c>
      <c r="J1260" s="26" t="s">
        <v>106</v>
      </c>
      <c r="K1260" s="40">
        <v>0</v>
      </c>
      <c r="M1260" s="200">
        <v>1.1000000000000001</v>
      </c>
      <c r="N1260" s="202" t="s">
        <v>196</v>
      </c>
      <c r="O1260" s="203" t="s">
        <v>269</v>
      </c>
      <c r="P1260" s="200">
        <f t="shared" si="154"/>
        <v>1005.1999999999999</v>
      </c>
      <c r="Q1260" s="199" t="s">
        <v>196</v>
      </c>
      <c r="R1260" s="200">
        <f t="shared" si="155"/>
        <v>1105.72</v>
      </c>
      <c r="AA1260" s="29"/>
      <c r="AB1260" s="29"/>
      <c r="AC1260" s="26" t="s">
        <v>1522</v>
      </c>
      <c r="AG1260" s="47" t="str">
        <f t="shared" si="148"/>
        <v>|</v>
      </c>
      <c r="AI1260" s="26" t="s">
        <v>685</v>
      </c>
    </row>
    <row r="1261" spans="6:35" ht="24" customHeight="1">
      <c r="K1261" s="35" t="s">
        <v>48</v>
      </c>
      <c r="M1261" s="200">
        <v>2.2000000000000002</v>
      </c>
      <c r="N1261" s="202" t="s">
        <v>196</v>
      </c>
      <c r="O1261" s="203" t="s">
        <v>271</v>
      </c>
      <c r="P1261" s="200">
        <f t="shared" si="154"/>
        <v>702.8</v>
      </c>
      <c r="Q1261" s="199" t="s">
        <v>196</v>
      </c>
      <c r="R1261" s="200">
        <f t="shared" si="155"/>
        <v>1546.16</v>
      </c>
      <c r="AA1261" s="29"/>
      <c r="AB1261" s="29"/>
      <c r="AC1261" s="35" t="s">
        <v>48</v>
      </c>
      <c r="AG1261" s="47" t="str">
        <f t="shared" si="148"/>
        <v>|</v>
      </c>
      <c r="AI1261" s="26" t="s">
        <v>685</v>
      </c>
    </row>
    <row r="1262" spans="6:35" ht="24" customHeight="1">
      <c r="H1262" s="26" t="s">
        <v>401</v>
      </c>
      <c r="K1262" s="40">
        <f>SUM(K1248:K1260)</f>
        <v>12539.944399999998</v>
      </c>
      <c r="M1262" s="200">
        <v>2.2000000000000002</v>
      </c>
      <c r="N1262" s="202" t="s">
        <v>196</v>
      </c>
      <c r="O1262" s="203" t="s">
        <v>276</v>
      </c>
      <c r="P1262" s="200">
        <f t="shared" si="154"/>
        <v>576.79999999999995</v>
      </c>
      <c r="Q1262" s="199" t="s">
        <v>196</v>
      </c>
      <c r="R1262" s="200">
        <f t="shared" si="155"/>
        <v>1268.96</v>
      </c>
      <c r="Z1262" s="40">
        <v>1.86</v>
      </c>
      <c r="AA1262" s="38" t="s">
        <v>438</v>
      </c>
      <c r="AB1262" s="38"/>
      <c r="AC1262" s="26" t="s">
        <v>1523</v>
      </c>
      <c r="AD1262" s="48">
        <f>AD1241</f>
        <v>756</v>
      </c>
      <c r="AE1262" s="26" t="str">
        <f>J1269</f>
        <v>SQM</v>
      </c>
      <c r="AF1262" s="40">
        <f t="shared" ref="AF1262:AF1267" si="156">(Z1262*AD1262)</f>
        <v>1406.16</v>
      </c>
      <c r="AG1262" s="47" t="str">
        <f t="shared" si="148"/>
        <v>|</v>
      </c>
      <c r="AI1262" s="26" t="s">
        <v>685</v>
      </c>
    </row>
    <row r="1263" spans="6:35" ht="24" customHeight="1">
      <c r="K1263" s="35" t="s">
        <v>48</v>
      </c>
      <c r="M1263" s="204">
        <v>20</v>
      </c>
      <c r="N1263" s="202" t="s">
        <v>392</v>
      </c>
      <c r="O1263" s="203" t="s">
        <v>85</v>
      </c>
      <c r="P1263" s="200">
        <f t="shared" si="154"/>
        <v>5800</v>
      </c>
      <c r="Q1263" s="199" t="s">
        <v>84</v>
      </c>
      <c r="R1263" s="200">
        <f>(M1263*P1263)/1000</f>
        <v>116</v>
      </c>
      <c r="Z1263" s="40">
        <v>0.4</v>
      </c>
      <c r="AA1263" s="38" t="s">
        <v>392</v>
      </c>
      <c r="AB1263" s="38"/>
      <c r="AC1263" s="26" t="s">
        <v>1496</v>
      </c>
      <c r="AD1263" s="110">
        <f>AD1249</f>
        <v>36.1</v>
      </c>
      <c r="AE1263" s="26" t="str">
        <f>J1270</f>
        <v>Kg</v>
      </c>
      <c r="AF1263" s="40">
        <f t="shared" si="156"/>
        <v>14.440000000000001</v>
      </c>
      <c r="AG1263" s="47">
        <f t="shared" si="148"/>
        <v>0</v>
      </c>
    </row>
    <row r="1264" spans="6:35" ht="24" customHeight="1">
      <c r="H1264" s="42" t="s">
        <v>403</v>
      </c>
      <c r="K1264" s="39">
        <f>(K1262/10)</f>
        <v>1253.9944399999999</v>
      </c>
      <c r="M1264" s="204">
        <v>2</v>
      </c>
      <c r="N1264" s="202" t="s">
        <v>392</v>
      </c>
      <c r="O1264" s="203" t="s">
        <v>1510</v>
      </c>
      <c r="P1264" s="200">
        <f>I1256</f>
        <v>36.1</v>
      </c>
      <c r="Q1264" s="199" t="s">
        <v>392</v>
      </c>
      <c r="R1264" s="200">
        <f t="shared" si="155"/>
        <v>72.2</v>
      </c>
      <c r="Z1264" s="40">
        <v>0.02</v>
      </c>
      <c r="AA1264" s="38" t="s">
        <v>93</v>
      </c>
      <c r="AB1264" s="38"/>
      <c r="AC1264" s="26" t="s">
        <v>1524</v>
      </c>
      <c r="AD1264" s="40">
        <f>I1271</f>
        <v>7063.64</v>
      </c>
      <c r="AE1264" s="26" t="str">
        <f>J1271</f>
        <v>CUM</v>
      </c>
      <c r="AF1264" s="40">
        <f t="shared" si="156"/>
        <v>141.27280000000002</v>
      </c>
      <c r="AG1264" s="47">
        <f t="shared" si="148"/>
        <v>0</v>
      </c>
    </row>
    <row r="1265" spans="6:35" ht="24" customHeight="1">
      <c r="K1265" s="35" t="s">
        <v>41</v>
      </c>
      <c r="M1265" s="200">
        <v>1.6</v>
      </c>
      <c r="N1265" s="202" t="s">
        <v>196</v>
      </c>
      <c r="O1265" s="203" t="s">
        <v>269</v>
      </c>
      <c r="P1265" s="200">
        <f>P1223</f>
        <v>1005.1999999999999</v>
      </c>
      <c r="Q1265" s="199" t="s">
        <v>196</v>
      </c>
      <c r="R1265" s="200">
        <f t="shared" si="155"/>
        <v>1608.32</v>
      </c>
      <c r="Z1265" s="40">
        <v>1</v>
      </c>
      <c r="AA1265" s="38" t="s">
        <v>196</v>
      </c>
      <c r="AB1265" s="38"/>
      <c r="AC1265" s="26" t="s">
        <v>298</v>
      </c>
      <c r="AD1265" s="40">
        <f>I1272</f>
        <v>1076.5999999999999</v>
      </c>
      <c r="AE1265" s="26" t="str">
        <f>J1272</f>
        <v>NO</v>
      </c>
      <c r="AF1265" s="40">
        <f t="shared" si="156"/>
        <v>1076.5999999999999</v>
      </c>
      <c r="AG1265" s="47" t="str">
        <f t="shared" si="148"/>
        <v/>
      </c>
      <c r="AI1265" s="26" t="s">
        <v>27</v>
      </c>
    </row>
    <row r="1266" spans="6:35" ht="24" customHeight="1">
      <c r="F1266" s="77">
        <v>29.4</v>
      </c>
      <c r="G1266" s="38" t="s">
        <v>67</v>
      </c>
      <c r="H1266" s="26" t="s">
        <v>1525</v>
      </c>
      <c r="M1266" s="200">
        <v>0.5</v>
      </c>
      <c r="N1266" s="202" t="s">
        <v>196</v>
      </c>
      <c r="O1266" s="203" t="s">
        <v>271</v>
      </c>
      <c r="P1266" s="200">
        <f>P1224</f>
        <v>702.8</v>
      </c>
      <c r="Q1266" s="199" t="s">
        <v>196</v>
      </c>
      <c r="R1266" s="200">
        <f t="shared" si="155"/>
        <v>351.4</v>
      </c>
      <c r="Z1266" s="40">
        <v>1</v>
      </c>
      <c r="AA1266" s="38" t="s">
        <v>196</v>
      </c>
      <c r="AB1266" s="38"/>
      <c r="AC1266" s="26" t="s">
        <v>1526</v>
      </c>
      <c r="AD1266" s="40">
        <f>I1273</f>
        <v>702.8</v>
      </c>
      <c r="AE1266" s="26" t="str">
        <f>J1273</f>
        <v>NO</v>
      </c>
      <c r="AF1266" s="40">
        <f t="shared" si="156"/>
        <v>702.8</v>
      </c>
      <c r="AG1266" s="47">
        <f t="shared" si="148"/>
        <v>0</v>
      </c>
    </row>
    <row r="1267" spans="6:35" ht="24" customHeight="1">
      <c r="H1267" s="26" t="s">
        <v>1527</v>
      </c>
      <c r="M1267" s="200">
        <v>1.1000000000000001</v>
      </c>
      <c r="N1267" s="202" t="s">
        <v>196</v>
      </c>
      <c r="O1267" s="203" t="s">
        <v>276</v>
      </c>
      <c r="P1267" s="200">
        <f>P1225</f>
        <v>576.79999999999995</v>
      </c>
      <c r="Q1267" s="199" t="s">
        <v>196</v>
      </c>
      <c r="R1267" s="200">
        <f t="shared" si="155"/>
        <v>634.48</v>
      </c>
      <c r="AA1267" s="38" t="s">
        <v>106</v>
      </c>
      <c r="AB1267" s="38"/>
      <c r="AC1267" s="26" t="s">
        <v>107</v>
      </c>
      <c r="AE1267" s="26" t="s">
        <v>106</v>
      </c>
      <c r="AF1267" s="40">
        <f t="shared" si="156"/>
        <v>0</v>
      </c>
      <c r="AG1267" s="47">
        <f t="shared" si="148"/>
        <v>0</v>
      </c>
    </row>
    <row r="1268" spans="6:35" ht="24" customHeight="1">
      <c r="H1268" s="35" t="s">
        <v>48</v>
      </c>
      <c r="M1268" s="189"/>
      <c r="N1268" s="202" t="s">
        <v>106</v>
      </c>
      <c r="O1268" s="203" t="s">
        <v>107</v>
      </c>
      <c r="P1268" s="189"/>
      <c r="Q1268" s="199" t="s">
        <v>106</v>
      </c>
      <c r="R1268" s="200">
        <v>0</v>
      </c>
      <c r="AA1268" s="29"/>
      <c r="AB1268" s="29"/>
      <c r="AE1268" s="31"/>
      <c r="AF1268" s="35" t="s">
        <v>48</v>
      </c>
      <c r="AG1268" s="47">
        <f t="shared" si="148"/>
        <v>0</v>
      </c>
    </row>
    <row r="1269" spans="6:35" ht="24" customHeight="1">
      <c r="F1269" s="40">
        <v>1.86</v>
      </c>
      <c r="G1269" s="38" t="s">
        <v>438</v>
      </c>
      <c r="H1269" s="26" t="s">
        <v>1528</v>
      </c>
      <c r="I1269" s="48">
        <f>C602</f>
        <v>385</v>
      </c>
      <c r="J1269" s="26" t="s">
        <v>438</v>
      </c>
      <c r="K1269" s="40">
        <f>(F1269*I1269)</f>
        <v>716.1</v>
      </c>
      <c r="M1269" s="189"/>
      <c r="N1269" s="190"/>
      <c r="O1269" s="189"/>
      <c r="P1269" s="189"/>
      <c r="Q1269" s="192"/>
      <c r="R1269" s="205"/>
      <c r="AA1269" s="29"/>
      <c r="AB1269" s="29"/>
      <c r="AC1269" s="26" t="s">
        <v>1529</v>
      </c>
      <c r="AE1269" s="31"/>
      <c r="AF1269" s="40">
        <f>SUM(AF1262:AF1267)</f>
        <v>3341.2727999999997</v>
      </c>
      <c r="AG1269" s="47">
        <f t="shared" si="148"/>
        <v>0</v>
      </c>
    </row>
    <row r="1270" spans="6:35" ht="24" customHeight="1">
      <c r="F1270" s="40">
        <v>0.4</v>
      </c>
      <c r="G1270" s="38" t="s">
        <v>392</v>
      </c>
      <c r="H1270" s="26" t="s">
        <v>1496</v>
      </c>
      <c r="I1270" s="150">
        <f>I1256</f>
        <v>36.1</v>
      </c>
      <c r="J1270" s="26" t="s">
        <v>392</v>
      </c>
      <c r="K1270" s="40">
        <f>(F1270*I1270)</f>
        <v>14.440000000000001</v>
      </c>
      <c r="M1270" s="189"/>
      <c r="N1270" s="190"/>
      <c r="O1270" s="203" t="s">
        <v>401</v>
      </c>
      <c r="P1270" s="189"/>
      <c r="Q1270" s="192"/>
      <c r="R1270" s="200">
        <f>SUM(R1257:R1268)</f>
        <v>13291.544400000001</v>
      </c>
      <c r="AA1270" s="29"/>
      <c r="AB1270" s="29"/>
      <c r="AE1270" s="31"/>
      <c r="AF1270" s="35" t="s">
        <v>48</v>
      </c>
      <c r="AG1270" s="47">
        <f t="shared" si="148"/>
        <v>0</v>
      </c>
    </row>
    <row r="1271" spans="6:35" ht="24" customHeight="1">
      <c r="F1271" s="40">
        <v>0.02</v>
      </c>
      <c r="G1271" s="38" t="s">
        <v>93</v>
      </c>
      <c r="H1271" s="26" t="s">
        <v>1524</v>
      </c>
      <c r="I1271" s="40">
        <f>K23</f>
        <v>7063.64</v>
      </c>
      <c r="J1271" s="26" t="s">
        <v>93</v>
      </c>
      <c r="K1271" s="40">
        <f>(F1271*I1271)</f>
        <v>141.27280000000002</v>
      </c>
      <c r="M1271" s="189"/>
      <c r="N1271" s="190"/>
      <c r="O1271" s="189"/>
      <c r="P1271" s="189"/>
      <c r="Q1271" s="192"/>
      <c r="R1271" s="205" t="s">
        <v>48</v>
      </c>
      <c r="AA1271" s="29"/>
      <c r="AB1271" s="29"/>
      <c r="AC1271" s="42" t="s">
        <v>403</v>
      </c>
      <c r="AE1271" s="31"/>
      <c r="AF1271" s="39">
        <f>(AF1269/1.86)</f>
        <v>1796.3832258064513</v>
      </c>
      <c r="AG1271" s="47">
        <f t="shared" si="148"/>
        <v>0</v>
      </c>
    </row>
    <row r="1272" spans="6:35" ht="24" customHeight="1">
      <c r="F1272" s="40">
        <v>1</v>
      </c>
      <c r="G1272" s="38" t="s">
        <v>196</v>
      </c>
      <c r="H1272" s="26" t="s">
        <v>298</v>
      </c>
      <c r="I1272" s="40">
        <f>C10</f>
        <v>1076.5999999999999</v>
      </c>
      <c r="J1272" s="26" t="s">
        <v>196</v>
      </c>
      <c r="K1272" s="40">
        <f>(F1272*I1272)</f>
        <v>1076.5999999999999</v>
      </c>
      <c r="M1272" s="189"/>
      <c r="N1272" s="190"/>
      <c r="O1272" s="206" t="s">
        <v>403</v>
      </c>
      <c r="P1272" s="189"/>
      <c r="Q1272" s="192"/>
      <c r="R1272" s="207">
        <f>(R1270/10)</f>
        <v>1329.15444</v>
      </c>
      <c r="AA1272" s="29"/>
      <c r="AB1272" s="29"/>
      <c r="AE1272" s="31"/>
      <c r="AF1272" s="35" t="s">
        <v>41</v>
      </c>
      <c r="AG1272" s="47">
        <f t="shared" si="148"/>
        <v>0</v>
      </c>
    </row>
    <row r="1273" spans="6:35" ht="24" customHeight="1">
      <c r="F1273" s="40">
        <v>1</v>
      </c>
      <c r="G1273" s="38" t="s">
        <v>196</v>
      </c>
      <c r="H1273" s="26" t="s">
        <v>1526</v>
      </c>
      <c r="I1273" s="40">
        <f>C12</f>
        <v>702.8</v>
      </c>
      <c r="J1273" s="26" t="s">
        <v>196</v>
      </c>
      <c r="K1273" s="40">
        <f>(F1273*I1273)</f>
        <v>702.8</v>
      </c>
      <c r="S1273" s="77">
        <v>29.5</v>
      </c>
      <c r="T1273" s="38" t="s">
        <v>67</v>
      </c>
      <c r="U1273" s="26" t="s">
        <v>1530</v>
      </c>
      <c r="W1273" s="31"/>
      <c r="AG1273" s="47">
        <f t="shared" si="148"/>
        <v>0</v>
      </c>
    </row>
    <row r="1274" spans="6:35" ht="24" customHeight="1">
      <c r="G1274" s="38" t="s">
        <v>106</v>
      </c>
      <c r="H1274" s="26" t="s">
        <v>107</v>
      </c>
      <c r="J1274" s="26" t="s">
        <v>106</v>
      </c>
      <c r="K1274" s="40"/>
      <c r="S1274" s="28"/>
      <c r="T1274" s="29"/>
      <c r="U1274" s="26"/>
      <c r="W1274" s="31"/>
      <c r="AG1274" s="47">
        <f t="shared" si="148"/>
        <v>0</v>
      </c>
    </row>
    <row r="1275" spans="6:35" ht="24" customHeight="1">
      <c r="K1275" s="35" t="s">
        <v>48</v>
      </c>
      <c r="S1275" s="28"/>
      <c r="T1275" s="29"/>
      <c r="U1275" s="26"/>
      <c r="W1275" s="31"/>
      <c r="AE1275" s="31"/>
      <c r="AG1275" s="47">
        <f t="shared" si="148"/>
        <v>0</v>
      </c>
    </row>
    <row r="1276" spans="6:35" ht="24" customHeight="1">
      <c r="H1276" s="26" t="s">
        <v>1529</v>
      </c>
      <c r="K1276" s="40">
        <f>SUM(K1269:K1274)</f>
        <v>2651.2128000000002</v>
      </c>
      <c r="S1276" s="28"/>
      <c r="T1276" s="29"/>
      <c r="U1276" s="35" t="s">
        <v>48</v>
      </c>
      <c r="V1276" s="35" t="s">
        <v>48</v>
      </c>
      <c r="W1276" s="31"/>
      <c r="AE1276" s="31"/>
      <c r="AG1276" s="47">
        <f t="shared" si="148"/>
        <v>0</v>
      </c>
    </row>
    <row r="1277" spans="6:35" ht="40.5" customHeight="1">
      <c r="K1277" s="35" t="s">
        <v>48</v>
      </c>
      <c r="S1277" s="40">
        <v>10</v>
      </c>
      <c r="T1277" s="38" t="s">
        <v>438</v>
      </c>
      <c r="U1277" s="92" t="s">
        <v>1531</v>
      </c>
      <c r="V1277" s="48">
        <v>538.21</v>
      </c>
      <c r="W1277" s="26" t="s">
        <v>438</v>
      </c>
      <c r="X1277" s="40">
        <f>(S1277*V1277)</f>
        <v>5382.1</v>
      </c>
      <c r="Y1277" s="40"/>
      <c r="AE1277" s="31"/>
      <c r="AG1277" s="47">
        <f t="shared" si="148"/>
        <v>0</v>
      </c>
    </row>
    <row r="1278" spans="6:35" ht="24" customHeight="1">
      <c r="H1278" s="42" t="s">
        <v>403</v>
      </c>
      <c r="K1278" s="39">
        <f>(K1276/1.86)</f>
        <v>1425.3832258064517</v>
      </c>
      <c r="S1278" s="40">
        <v>0.21</v>
      </c>
      <c r="T1278" s="38" t="s">
        <v>93</v>
      </c>
      <c r="U1278" s="26" t="s">
        <v>1488</v>
      </c>
      <c r="V1278" s="48">
        <f t="shared" ref="V1278:V1288" si="157">I1249</f>
        <v>5671.64</v>
      </c>
      <c r="W1278" s="26" t="s">
        <v>93</v>
      </c>
      <c r="X1278" s="40">
        <f>(S1278*V1278)</f>
        <v>1191.0444</v>
      </c>
      <c r="Y1278" s="40"/>
      <c r="AG1278" s="47">
        <f t="shared" ref="AG1278:AG1341" si="158">AI1278</f>
        <v>0</v>
      </c>
    </row>
    <row r="1279" spans="6:35" ht="24" customHeight="1">
      <c r="K1279" s="35" t="s">
        <v>41</v>
      </c>
      <c r="S1279" s="28"/>
      <c r="T1279" s="29"/>
      <c r="U1279" s="26" t="s">
        <v>1492</v>
      </c>
      <c r="V1279" s="48" t="str">
        <f t="shared" si="157"/>
        <v/>
      </c>
      <c r="W1279" s="31"/>
      <c r="X1279" s="26" t="s">
        <v>27</v>
      </c>
      <c r="Y1279" s="26"/>
      <c r="AG1279" s="47">
        <f t="shared" si="158"/>
        <v>0</v>
      </c>
    </row>
    <row r="1280" spans="6:35" ht="24" customHeight="1">
      <c r="F1280" s="77"/>
      <c r="G1280" s="38" t="s">
        <v>67</v>
      </c>
      <c r="H1280" s="26" t="s">
        <v>1532</v>
      </c>
      <c r="S1280" s="40">
        <v>1.1000000000000001</v>
      </c>
      <c r="T1280" s="38" t="s">
        <v>196</v>
      </c>
      <c r="U1280" s="26" t="s">
        <v>298</v>
      </c>
      <c r="V1280" s="48">
        <f t="shared" si="157"/>
        <v>1076.5999999999999</v>
      </c>
      <c r="W1280" s="26" t="s">
        <v>196</v>
      </c>
      <c r="X1280" s="40">
        <f>(S1280*V1280)</f>
        <v>1184.26</v>
      </c>
      <c r="Y1280" s="40"/>
      <c r="AG1280" s="47">
        <f t="shared" si="158"/>
        <v>0</v>
      </c>
    </row>
    <row r="1281" spans="6:33" ht="24" customHeight="1">
      <c r="H1281" s="26"/>
      <c r="S1281" s="40">
        <v>1.1000000000000001</v>
      </c>
      <c r="T1281" s="38" t="s">
        <v>196</v>
      </c>
      <c r="U1281" s="26" t="s">
        <v>269</v>
      </c>
      <c r="V1281" s="48">
        <f t="shared" si="157"/>
        <v>1005.1999999999999</v>
      </c>
      <c r="W1281" s="26" t="s">
        <v>196</v>
      </c>
      <c r="X1281" s="40">
        <f>(S1281*V1281)</f>
        <v>1105.72</v>
      </c>
      <c r="Y1281" s="40"/>
      <c r="AG1281" s="47">
        <f t="shared" si="158"/>
        <v>0</v>
      </c>
    </row>
    <row r="1282" spans="6:33" ht="24" customHeight="1">
      <c r="H1282" s="35" t="s">
        <v>48</v>
      </c>
      <c r="S1282" s="40">
        <v>2.2000000000000002</v>
      </c>
      <c r="T1282" s="38" t="s">
        <v>196</v>
      </c>
      <c r="U1282" s="26" t="s">
        <v>271</v>
      </c>
      <c r="V1282" s="48">
        <f t="shared" si="157"/>
        <v>702.8</v>
      </c>
      <c r="W1282" s="26" t="s">
        <v>196</v>
      </c>
      <c r="X1282" s="40">
        <f>(S1282*V1282)</f>
        <v>1546.16</v>
      </c>
      <c r="Y1282" s="40"/>
      <c r="AG1282" s="47">
        <f t="shared" si="158"/>
        <v>0</v>
      </c>
    </row>
    <row r="1283" spans="6:33" ht="24" customHeight="1">
      <c r="F1283" s="40">
        <v>1.86</v>
      </c>
      <c r="G1283" s="38" t="s">
        <v>438</v>
      </c>
      <c r="H1283" s="26" t="s">
        <v>1533</v>
      </c>
      <c r="I1283" s="48">
        <v>699.4</v>
      </c>
      <c r="J1283" s="26" t="s">
        <v>438</v>
      </c>
      <c r="K1283" s="40">
        <f>(F1283*I1283)</f>
        <v>1300.884</v>
      </c>
      <c r="S1283" s="40">
        <v>2.2000000000000002</v>
      </c>
      <c r="T1283" s="38" t="s">
        <v>196</v>
      </c>
      <c r="U1283" s="26" t="s">
        <v>276</v>
      </c>
      <c r="V1283" s="48">
        <f t="shared" si="157"/>
        <v>576.79999999999995</v>
      </c>
      <c r="W1283" s="26" t="s">
        <v>196</v>
      </c>
      <c r="X1283" s="40">
        <f>(S1283*V1283)</f>
        <v>1268.96</v>
      </c>
      <c r="Y1283" s="40"/>
      <c r="AG1283" s="47">
        <f t="shared" si="158"/>
        <v>0</v>
      </c>
    </row>
    <row r="1284" spans="6:33" ht="24" customHeight="1">
      <c r="F1284" s="40">
        <v>0.4</v>
      </c>
      <c r="G1284" s="38" t="s">
        <v>392</v>
      </c>
      <c r="H1284" s="26" t="s">
        <v>26</v>
      </c>
      <c r="I1284" s="208">
        <f>C67</f>
        <v>5800</v>
      </c>
      <c r="J1284" s="26" t="s">
        <v>392</v>
      </c>
      <c r="K1284" s="40">
        <f>(F1284*I1284)</f>
        <v>2320</v>
      </c>
      <c r="S1284" s="76">
        <v>20</v>
      </c>
      <c r="T1284" s="38" t="s">
        <v>392</v>
      </c>
      <c r="U1284" s="26" t="s">
        <v>85</v>
      </c>
      <c r="V1284" s="48">
        <f t="shared" si="157"/>
        <v>5800</v>
      </c>
      <c r="W1284" s="26" t="s">
        <v>84</v>
      </c>
      <c r="X1284" s="40">
        <f>(S1284*V1284)/1000</f>
        <v>116</v>
      </c>
      <c r="Y1284" s="40"/>
      <c r="AG1284" s="47">
        <f t="shared" si="158"/>
        <v>0</v>
      </c>
    </row>
    <row r="1285" spans="6:33" ht="24" customHeight="1">
      <c r="F1285" s="40">
        <v>0.02</v>
      </c>
      <c r="G1285" s="38" t="s">
        <v>93</v>
      </c>
      <c r="H1285" s="26" t="s">
        <v>1524</v>
      </c>
      <c r="I1285" s="40">
        <f>I1271</f>
        <v>7063.64</v>
      </c>
      <c r="J1285" s="26" t="s">
        <v>93</v>
      </c>
      <c r="K1285" s="40">
        <f>(F1285*I1285)</f>
        <v>141.27280000000002</v>
      </c>
      <c r="S1285" s="76">
        <v>2</v>
      </c>
      <c r="T1285" s="38" t="s">
        <v>392</v>
      </c>
      <c r="U1285" s="26" t="s">
        <v>1496</v>
      </c>
      <c r="V1285" s="48">
        <f t="shared" si="157"/>
        <v>36.1</v>
      </c>
      <c r="W1285" s="26" t="s">
        <v>392</v>
      </c>
      <c r="X1285" s="40">
        <f>(S1285*V1285)</f>
        <v>72.2</v>
      </c>
      <c r="Y1285" s="40"/>
      <c r="AG1285" s="47">
        <f t="shared" si="158"/>
        <v>0</v>
      </c>
    </row>
    <row r="1286" spans="6:33" ht="24" customHeight="1">
      <c r="F1286" s="40">
        <v>1</v>
      </c>
      <c r="G1286" s="38" t="s">
        <v>196</v>
      </c>
      <c r="H1286" s="26" t="s">
        <v>298</v>
      </c>
      <c r="I1286" s="40">
        <f>I1272</f>
        <v>1076.5999999999999</v>
      </c>
      <c r="J1286" s="26" t="s">
        <v>196</v>
      </c>
      <c r="K1286" s="40">
        <f>(F1286*I1286)</f>
        <v>1076.5999999999999</v>
      </c>
      <c r="S1286" s="40">
        <v>1.6</v>
      </c>
      <c r="T1286" s="38" t="s">
        <v>196</v>
      </c>
      <c r="U1286" s="26" t="s">
        <v>269</v>
      </c>
      <c r="V1286" s="48">
        <f t="shared" si="157"/>
        <v>1005.1999999999999</v>
      </c>
      <c r="W1286" s="26" t="s">
        <v>196</v>
      </c>
      <c r="X1286" s="40">
        <f>(S1286*V1286)</f>
        <v>1608.32</v>
      </c>
      <c r="Y1286" s="40"/>
      <c r="AG1286" s="47">
        <f t="shared" si="158"/>
        <v>0</v>
      </c>
    </row>
    <row r="1287" spans="6:33" ht="24" customHeight="1">
      <c r="F1287" s="40">
        <v>1</v>
      </c>
      <c r="G1287" s="38" t="s">
        <v>196</v>
      </c>
      <c r="H1287" s="26" t="s">
        <v>1526</v>
      </c>
      <c r="I1287" s="40">
        <f>I1273</f>
        <v>702.8</v>
      </c>
      <c r="J1287" s="26" t="s">
        <v>196</v>
      </c>
      <c r="K1287" s="40">
        <f>(F1287*I1287)</f>
        <v>702.8</v>
      </c>
      <c r="S1287" s="40">
        <v>0.5</v>
      </c>
      <c r="T1287" s="38" t="s">
        <v>196</v>
      </c>
      <c r="U1287" s="26" t="s">
        <v>271</v>
      </c>
      <c r="V1287" s="48">
        <f t="shared" si="157"/>
        <v>702.8</v>
      </c>
      <c r="W1287" s="26" t="s">
        <v>196</v>
      </c>
      <c r="X1287" s="40">
        <f>(S1287*V1287)</f>
        <v>351.4</v>
      </c>
      <c r="Y1287" s="40"/>
      <c r="AG1287" s="47">
        <f t="shared" si="158"/>
        <v>0</v>
      </c>
    </row>
    <row r="1288" spans="6:33" ht="24" customHeight="1">
      <c r="G1288" s="38" t="s">
        <v>106</v>
      </c>
      <c r="H1288" s="26" t="s">
        <v>107</v>
      </c>
      <c r="J1288" s="26" t="s">
        <v>106</v>
      </c>
      <c r="K1288" s="40"/>
      <c r="S1288" s="40">
        <v>1.1000000000000001</v>
      </c>
      <c r="T1288" s="38" t="s">
        <v>196</v>
      </c>
      <c r="U1288" s="26" t="s">
        <v>276</v>
      </c>
      <c r="V1288" s="48">
        <f t="shared" si="157"/>
        <v>576.79999999999995</v>
      </c>
      <c r="W1288" s="26" t="s">
        <v>196</v>
      </c>
      <c r="X1288" s="40">
        <f>(S1288*V1288)</f>
        <v>634.48</v>
      </c>
      <c r="Y1288" s="40"/>
      <c r="AG1288" s="47">
        <f t="shared" si="158"/>
        <v>0</v>
      </c>
    </row>
    <row r="1289" spans="6:33" ht="24" customHeight="1">
      <c r="K1289" s="35" t="s">
        <v>48</v>
      </c>
      <c r="S1289" s="28"/>
      <c r="T1289" s="38" t="s">
        <v>106</v>
      </c>
      <c r="U1289" s="26" t="s">
        <v>107</v>
      </c>
      <c r="W1289" s="26" t="s">
        <v>106</v>
      </c>
      <c r="X1289" s="40">
        <v>0</v>
      </c>
      <c r="Y1289" s="40"/>
      <c r="AG1289" s="47">
        <f t="shared" si="158"/>
        <v>0</v>
      </c>
    </row>
    <row r="1290" spans="6:33" ht="24" customHeight="1">
      <c r="H1290" s="26" t="s">
        <v>1529</v>
      </c>
      <c r="K1290" s="40">
        <f>SUM(K1283:K1288)</f>
        <v>5541.5568000000003</v>
      </c>
      <c r="S1290" s="28"/>
      <c r="T1290" s="29"/>
      <c r="W1290" s="31"/>
      <c r="X1290" s="35" t="s">
        <v>48</v>
      </c>
      <c r="Y1290" s="35"/>
      <c r="AG1290" s="47">
        <f t="shared" si="158"/>
        <v>0</v>
      </c>
    </row>
    <row r="1291" spans="6:33" ht="24" customHeight="1">
      <c r="K1291" s="35" t="s">
        <v>48</v>
      </c>
      <c r="S1291" s="28"/>
      <c r="T1291" s="29"/>
      <c r="U1291" s="26" t="s">
        <v>401</v>
      </c>
      <c r="W1291" s="31"/>
      <c r="X1291" s="40">
        <f>SUM(X1277:X1289)</f>
        <v>14460.644399999999</v>
      </c>
      <c r="Y1291" s="40"/>
      <c r="AG1291" s="47">
        <f t="shared" si="158"/>
        <v>0</v>
      </c>
    </row>
    <row r="1292" spans="6:33" ht="24" customHeight="1">
      <c r="H1292" s="42" t="s">
        <v>403</v>
      </c>
      <c r="K1292" s="39">
        <f>(K1290/1.86)</f>
        <v>2979.331612903226</v>
      </c>
      <c r="S1292" s="28"/>
      <c r="T1292" s="29"/>
      <c r="W1292" s="31"/>
      <c r="X1292" s="35" t="s">
        <v>48</v>
      </c>
      <c r="Y1292" s="35"/>
      <c r="AG1292" s="47">
        <f t="shared" si="158"/>
        <v>0</v>
      </c>
    </row>
    <row r="1293" spans="6:33" ht="24" customHeight="1">
      <c r="K1293" s="35" t="s">
        <v>41</v>
      </c>
      <c r="U1293" s="42" t="s">
        <v>403</v>
      </c>
      <c r="W1293" s="31"/>
      <c r="X1293" s="39">
        <f>(X1291/10)</f>
        <v>1446.0644399999999</v>
      </c>
      <c r="Y1293" s="39"/>
      <c r="AG1293" s="47">
        <f t="shared" si="158"/>
        <v>0</v>
      </c>
    </row>
    <row r="1294" spans="6:33" ht="24" customHeight="1">
      <c r="K1294" s="35"/>
      <c r="W1294" s="31"/>
      <c r="X1294" s="35" t="s">
        <v>41</v>
      </c>
      <c r="Y1294" s="35"/>
      <c r="AG1294" s="47">
        <f t="shared" si="158"/>
        <v>0</v>
      </c>
    </row>
    <row r="1295" spans="6:33" ht="24" customHeight="1">
      <c r="K1295" s="35"/>
      <c r="AG1295" s="47">
        <f t="shared" si="158"/>
        <v>0</v>
      </c>
    </row>
    <row r="1296" spans="6:33" ht="24" customHeight="1">
      <c r="K1296" s="35"/>
      <c r="M1296" s="27"/>
      <c r="N1296" s="38" t="s">
        <v>67</v>
      </c>
      <c r="O1296" s="26" t="s">
        <v>1534</v>
      </c>
      <c r="Q1296" s="33"/>
      <c r="S1296" s="132">
        <v>15.1</v>
      </c>
      <c r="T1296" s="38" t="s">
        <v>850</v>
      </c>
      <c r="U1296" s="26" t="s">
        <v>1535</v>
      </c>
      <c r="W1296" s="33"/>
      <c r="AG1296" s="47">
        <f t="shared" si="158"/>
        <v>0</v>
      </c>
    </row>
    <row r="1297" spans="6:33" ht="24" customHeight="1">
      <c r="K1297" s="35"/>
      <c r="N1297" s="29"/>
      <c r="O1297" s="26" t="s">
        <v>1536</v>
      </c>
      <c r="Q1297" s="33"/>
      <c r="S1297" s="28"/>
      <c r="T1297" s="29"/>
      <c r="U1297" s="26" t="s">
        <v>786</v>
      </c>
      <c r="W1297" s="33"/>
      <c r="AG1297" s="47">
        <f t="shared" si="158"/>
        <v>0</v>
      </c>
    </row>
    <row r="1298" spans="6:33" ht="24" customHeight="1">
      <c r="F1298" s="27" t="s">
        <v>234</v>
      </c>
      <c r="G1298" s="38" t="s">
        <v>67</v>
      </c>
      <c r="H1298" s="26" t="s">
        <v>1480</v>
      </c>
      <c r="N1298" s="29"/>
      <c r="O1298" s="30" t="s">
        <v>1537</v>
      </c>
      <c r="Q1298" s="33"/>
      <c r="S1298" s="40">
        <v>10</v>
      </c>
      <c r="T1298" s="38" t="s">
        <v>788</v>
      </c>
      <c r="U1298" s="26" t="s">
        <v>1538</v>
      </c>
      <c r="V1298" s="49">
        <v>1506.6</v>
      </c>
      <c r="W1298" s="27" t="s">
        <v>788</v>
      </c>
      <c r="X1298" s="40">
        <f t="shared" ref="X1298:X1304" si="159">(S1298*V1298)</f>
        <v>15066</v>
      </c>
      <c r="Y1298" s="40"/>
      <c r="AG1298" s="47">
        <f t="shared" si="158"/>
        <v>0</v>
      </c>
    </row>
    <row r="1299" spans="6:33" ht="24" customHeight="1">
      <c r="H1299" s="26" t="s">
        <v>1539</v>
      </c>
      <c r="N1299" s="29"/>
      <c r="O1299" s="35" t="s">
        <v>48</v>
      </c>
      <c r="Q1299" s="33"/>
      <c r="S1299" s="40">
        <v>0.21</v>
      </c>
      <c r="T1299" s="38" t="s">
        <v>93</v>
      </c>
      <c r="U1299" s="26" t="s">
        <v>857</v>
      </c>
      <c r="V1299" s="138">
        <f>P1333</f>
        <v>5671.64</v>
      </c>
      <c r="W1299" s="27" t="s">
        <v>93</v>
      </c>
      <c r="X1299" s="40">
        <f t="shared" si="159"/>
        <v>1191.0444</v>
      </c>
      <c r="Y1299" s="40"/>
      <c r="AG1299" s="47">
        <f t="shared" si="158"/>
        <v>0</v>
      </c>
    </row>
    <row r="1300" spans="6:33" ht="24" customHeight="1">
      <c r="H1300" s="26" t="s">
        <v>1540</v>
      </c>
      <c r="M1300" s="40">
        <v>3.2</v>
      </c>
      <c r="N1300" s="38" t="s">
        <v>392</v>
      </c>
      <c r="O1300" s="96" t="s">
        <v>1541</v>
      </c>
      <c r="P1300" s="47">
        <v>225</v>
      </c>
      <c r="Q1300" s="27" t="s">
        <v>392</v>
      </c>
      <c r="R1300" s="40">
        <f>(M1300*P1300)</f>
        <v>720</v>
      </c>
      <c r="S1300" s="40">
        <v>1.1000000000000001</v>
      </c>
      <c r="T1300" s="38" t="s">
        <v>791</v>
      </c>
      <c r="U1300" s="26" t="s">
        <v>792</v>
      </c>
      <c r="V1300" s="138">
        <f>P1334</f>
        <v>1076.5999999999999</v>
      </c>
      <c r="W1300" s="27" t="s">
        <v>793</v>
      </c>
      <c r="X1300" s="40">
        <f t="shared" si="159"/>
        <v>1184.26</v>
      </c>
      <c r="Y1300" s="40"/>
      <c r="AG1300" s="47">
        <f t="shared" si="158"/>
        <v>0</v>
      </c>
    </row>
    <row r="1301" spans="6:33" ht="24" customHeight="1">
      <c r="H1301" s="26" t="s">
        <v>1542</v>
      </c>
      <c r="M1301" s="40">
        <v>0.98</v>
      </c>
      <c r="N1301" s="38" t="s">
        <v>1543</v>
      </c>
      <c r="O1301" s="26" t="s">
        <v>1544</v>
      </c>
      <c r="P1301" s="40">
        <f>P1320</f>
        <v>144.69999999999999</v>
      </c>
      <c r="Q1301" s="27" t="s">
        <v>1543</v>
      </c>
      <c r="R1301" s="40">
        <f t="shared" ref="R1301:R1306" si="160">(M1301*P1301)</f>
        <v>141.80599999999998</v>
      </c>
      <c r="S1301" s="40">
        <v>1.1000000000000001</v>
      </c>
      <c r="T1301" s="38" t="s">
        <v>791</v>
      </c>
      <c r="U1301" s="26" t="s">
        <v>1476</v>
      </c>
      <c r="V1301" s="138">
        <f>P1260</f>
        <v>1005.1999999999999</v>
      </c>
      <c r="W1301" s="27" t="s">
        <v>793</v>
      </c>
      <c r="X1301" s="40">
        <f t="shared" si="159"/>
        <v>1105.72</v>
      </c>
      <c r="Y1301" s="40"/>
      <c r="AG1301" s="47">
        <f t="shared" si="158"/>
        <v>0</v>
      </c>
    </row>
    <row r="1302" spans="6:33" ht="24" customHeight="1">
      <c r="H1302" s="35" t="s">
        <v>48</v>
      </c>
      <c r="M1302" s="40">
        <v>0.5</v>
      </c>
      <c r="N1302" s="38" t="s">
        <v>196</v>
      </c>
      <c r="O1302" s="26" t="s">
        <v>1545</v>
      </c>
      <c r="P1302" s="40">
        <f>AG13</f>
        <v>861</v>
      </c>
      <c r="Q1302" s="38" t="s">
        <v>196</v>
      </c>
      <c r="R1302" s="40">
        <f t="shared" si="160"/>
        <v>430.5</v>
      </c>
      <c r="S1302" s="40">
        <v>2.2000000000000002</v>
      </c>
      <c r="T1302" s="38" t="s">
        <v>791</v>
      </c>
      <c r="U1302" s="26" t="s">
        <v>795</v>
      </c>
      <c r="V1302" s="138">
        <f>P1335</f>
        <v>702.8</v>
      </c>
      <c r="W1302" s="27" t="s">
        <v>793</v>
      </c>
      <c r="X1302" s="40">
        <f t="shared" si="159"/>
        <v>1546.16</v>
      </c>
      <c r="Y1302" s="40"/>
      <c r="AG1302" s="47">
        <f t="shared" si="158"/>
        <v>0</v>
      </c>
    </row>
    <row r="1303" spans="6:33" ht="24" customHeight="1">
      <c r="F1303" s="40">
        <v>0.24</v>
      </c>
      <c r="G1303" s="38" t="s">
        <v>93</v>
      </c>
      <c r="H1303" s="26" t="s">
        <v>1546</v>
      </c>
      <c r="I1303" s="40">
        <f>(C70)</f>
        <v>2252.4699999999998</v>
      </c>
      <c r="J1303" s="26" t="s">
        <v>93</v>
      </c>
      <c r="K1303" s="40">
        <f>(F1303*I1303)</f>
        <v>540.5927999999999</v>
      </c>
      <c r="M1303" s="40">
        <v>0.7</v>
      </c>
      <c r="N1303" s="38" t="s">
        <v>196</v>
      </c>
      <c r="O1303" s="26" t="s">
        <v>1547</v>
      </c>
      <c r="P1303" s="40">
        <f>AG14</f>
        <v>833</v>
      </c>
      <c r="Q1303" s="38" t="s">
        <v>196</v>
      </c>
      <c r="R1303" s="40">
        <f t="shared" si="160"/>
        <v>583.09999999999991</v>
      </c>
      <c r="S1303" s="40">
        <v>2.2000000000000002</v>
      </c>
      <c r="T1303" s="38" t="s">
        <v>791</v>
      </c>
      <c r="U1303" s="26" t="s">
        <v>1548</v>
      </c>
      <c r="V1303" s="138">
        <f>P1305</f>
        <v>576.79999999999995</v>
      </c>
      <c r="W1303" s="27" t="s">
        <v>793</v>
      </c>
      <c r="X1303" s="40">
        <f t="shared" si="159"/>
        <v>1268.96</v>
      </c>
      <c r="Y1303" s="40"/>
      <c r="AG1303" s="47">
        <f t="shared" si="158"/>
        <v>0</v>
      </c>
    </row>
    <row r="1304" spans="6:33" ht="24" customHeight="1">
      <c r="F1304" s="76">
        <v>0.11700000000000001</v>
      </c>
      <c r="G1304" s="38" t="s">
        <v>84</v>
      </c>
      <c r="H1304" s="26" t="s">
        <v>85</v>
      </c>
      <c r="I1304" s="40">
        <f>(C67)</f>
        <v>5800</v>
      </c>
      <c r="J1304" s="26" t="s">
        <v>84</v>
      </c>
      <c r="K1304" s="40">
        <f>(F1304*I1304)</f>
        <v>678.6</v>
      </c>
      <c r="M1304" s="40">
        <v>0.5</v>
      </c>
      <c r="N1304" s="38" t="s">
        <v>196</v>
      </c>
      <c r="O1304" s="26" t="s">
        <v>271</v>
      </c>
      <c r="P1304" s="40">
        <f>I1306</f>
        <v>702.8</v>
      </c>
      <c r="Q1304" s="38" t="s">
        <v>196</v>
      </c>
      <c r="R1304" s="40">
        <f t="shared" si="160"/>
        <v>351.4</v>
      </c>
      <c r="S1304" s="40">
        <v>10</v>
      </c>
      <c r="T1304" s="38" t="s">
        <v>106</v>
      </c>
      <c r="U1304" s="26" t="s">
        <v>1549</v>
      </c>
      <c r="V1304" s="138">
        <v>153.47</v>
      </c>
      <c r="W1304" s="27" t="s">
        <v>106</v>
      </c>
      <c r="X1304" s="40">
        <f t="shared" si="159"/>
        <v>1534.7</v>
      </c>
      <c r="Y1304" s="40"/>
      <c r="AG1304" s="47">
        <f t="shared" si="158"/>
        <v>0</v>
      </c>
    </row>
    <row r="1305" spans="6:33" ht="24" customHeight="1">
      <c r="F1305" s="40">
        <v>0.5</v>
      </c>
      <c r="G1305" s="38" t="s">
        <v>196</v>
      </c>
      <c r="H1305" s="26" t="s">
        <v>298</v>
      </c>
      <c r="I1305" s="40">
        <f>(C10)</f>
        <v>1076.5999999999999</v>
      </c>
      <c r="J1305" s="26" t="s">
        <v>196</v>
      </c>
      <c r="K1305" s="40">
        <f>(F1305*I1305)</f>
        <v>538.29999999999995</v>
      </c>
      <c r="M1305" s="40">
        <v>0.8</v>
      </c>
      <c r="N1305" s="38" t="s">
        <v>196</v>
      </c>
      <c r="O1305" s="26" t="s">
        <v>276</v>
      </c>
      <c r="P1305" s="40">
        <f>I1307</f>
        <v>576.79999999999995</v>
      </c>
      <c r="Q1305" s="38" t="s">
        <v>196</v>
      </c>
      <c r="R1305" s="40">
        <f t="shared" si="160"/>
        <v>461.44</v>
      </c>
      <c r="S1305" s="28"/>
      <c r="T1305" s="29"/>
      <c r="U1305" s="26"/>
      <c r="V1305" s="138">
        <f>P1337</f>
        <v>0</v>
      </c>
      <c r="W1305" s="33"/>
      <c r="X1305" s="35" t="s">
        <v>48</v>
      </c>
      <c r="Y1305" s="35"/>
      <c r="AG1305" s="47">
        <f t="shared" si="158"/>
        <v>0</v>
      </c>
    </row>
    <row r="1306" spans="6:33" ht="24" customHeight="1">
      <c r="F1306" s="40">
        <v>1.1000000000000001</v>
      </c>
      <c r="G1306" s="38" t="s">
        <v>196</v>
      </c>
      <c r="H1306" s="26" t="s">
        <v>1482</v>
      </c>
      <c r="I1306" s="40">
        <f>(C12)</f>
        <v>702.8</v>
      </c>
      <c r="J1306" s="26" t="s">
        <v>196</v>
      </c>
      <c r="K1306" s="40">
        <f>(F1306*I1306)</f>
        <v>773.08</v>
      </c>
      <c r="M1306" s="40">
        <v>10</v>
      </c>
      <c r="N1306" s="38" t="s">
        <v>788</v>
      </c>
      <c r="O1306" s="26" t="s">
        <v>1550</v>
      </c>
      <c r="P1306" s="48">
        <f>C460</f>
        <v>3.2</v>
      </c>
      <c r="Q1306" s="38" t="s">
        <v>788</v>
      </c>
      <c r="R1306" s="40">
        <f t="shared" si="160"/>
        <v>32</v>
      </c>
      <c r="S1306" s="28"/>
      <c r="T1306" s="29"/>
      <c r="U1306" s="27" t="s">
        <v>867</v>
      </c>
      <c r="V1306" s="138"/>
      <c r="W1306" s="33"/>
      <c r="X1306" s="40">
        <f>SUM(X1298:X1304)</f>
        <v>22896.844400000002</v>
      </c>
      <c r="Y1306" s="40"/>
      <c r="AG1306" s="47">
        <f t="shared" si="158"/>
        <v>0</v>
      </c>
    </row>
    <row r="1307" spans="6:33" ht="24" customHeight="1">
      <c r="F1307" s="40">
        <v>4.3</v>
      </c>
      <c r="G1307" s="38" t="s">
        <v>196</v>
      </c>
      <c r="H1307" s="26" t="s">
        <v>276</v>
      </c>
      <c r="I1307" s="40">
        <f>(C13)</f>
        <v>576.79999999999995</v>
      </c>
      <c r="J1307" s="26" t="s">
        <v>196</v>
      </c>
      <c r="K1307" s="40">
        <f>(F1307*I1307)</f>
        <v>2480.2399999999998</v>
      </c>
      <c r="N1307" s="38" t="s">
        <v>106</v>
      </c>
      <c r="O1307" s="26" t="s">
        <v>1452</v>
      </c>
      <c r="P1307" s="26" t="s">
        <v>27</v>
      </c>
      <c r="Q1307" s="27" t="s">
        <v>106</v>
      </c>
      <c r="R1307" s="40">
        <v>0</v>
      </c>
      <c r="S1307" s="28"/>
      <c r="T1307" s="29"/>
      <c r="W1307" s="33"/>
      <c r="X1307" s="35" t="s">
        <v>48</v>
      </c>
      <c r="Y1307" s="35"/>
      <c r="AG1307" s="47">
        <f t="shared" si="158"/>
        <v>0</v>
      </c>
    </row>
    <row r="1308" spans="6:33" ht="24" customHeight="1">
      <c r="G1308" s="38" t="s">
        <v>106</v>
      </c>
      <c r="H1308" s="26" t="s">
        <v>107</v>
      </c>
      <c r="J1308" s="26" t="s">
        <v>106</v>
      </c>
      <c r="K1308" s="40">
        <v>0</v>
      </c>
      <c r="N1308" s="29"/>
      <c r="Q1308" s="33"/>
      <c r="R1308" s="35" t="s">
        <v>48</v>
      </c>
      <c r="S1308" s="28"/>
      <c r="T1308" s="29"/>
      <c r="U1308" s="27" t="s">
        <v>872</v>
      </c>
      <c r="W1308" s="33"/>
      <c r="X1308" s="39">
        <f>X1306/10</f>
        <v>2289.68444</v>
      </c>
      <c r="Y1308" s="39"/>
      <c r="AG1308" s="47">
        <f t="shared" si="158"/>
        <v>0</v>
      </c>
    </row>
    <row r="1309" spans="6:33" ht="24" customHeight="1">
      <c r="K1309" s="35" t="s">
        <v>48</v>
      </c>
      <c r="N1309" s="29"/>
      <c r="O1309" s="26" t="s">
        <v>401</v>
      </c>
      <c r="Q1309" s="33"/>
      <c r="R1309" s="40">
        <f>SUM(R1300:R1307)</f>
        <v>2720.2460000000001</v>
      </c>
      <c r="S1309" s="28"/>
      <c r="T1309" s="29"/>
      <c r="U1309" s="26" t="s">
        <v>309</v>
      </c>
      <c r="W1309" s="33">
        <f>X1313+Z1308</f>
        <v>2291.9044400000002</v>
      </c>
      <c r="X1309" s="40">
        <f>X1308+Z1306</f>
        <v>2289.68444</v>
      </c>
      <c r="Y1309" s="40"/>
      <c r="AG1309" s="47">
        <f t="shared" si="158"/>
        <v>0</v>
      </c>
    </row>
    <row r="1310" spans="6:33" ht="24" customHeight="1">
      <c r="H1310" s="26" t="s">
        <v>401</v>
      </c>
      <c r="K1310" s="40">
        <f>SUM(K1303:K1308)</f>
        <v>5010.8127999999997</v>
      </c>
      <c r="N1310" s="29"/>
      <c r="Q1310" s="33"/>
      <c r="R1310" s="35" t="s">
        <v>48</v>
      </c>
      <c r="S1310" s="28"/>
      <c r="T1310" s="29"/>
      <c r="U1310" s="26" t="s">
        <v>313</v>
      </c>
      <c r="W1310" s="33">
        <f>W1309+Z1308</f>
        <v>2291.9044400000002</v>
      </c>
      <c r="X1310" s="40">
        <f>X1309+1.11</f>
        <v>2290.7944400000001</v>
      </c>
      <c r="Y1310" s="40"/>
      <c r="AG1310" s="47">
        <f t="shared" si="158"/>
        <v>0</v>
      </c>
    </row>
    <row r="1311" spans="6:33" ht="24" customHeight="1">
      <c r="K1311" s="35" t="s">
        <v>48</v>
      </c>
      <c r="N1311" s="29"/>
      <c r="O1311" s="30" t="s">
        <v>403</v>
      </c>
      <c r="Q1311" s="33"/>
      <c r="R1311" s="39">
        <f>(R1309/10)</f>
        <v>272.02460000000002</v>
      </c>
      <c r="S1311" s="28"/>
      <c r="T1311" s="29"/>
      <c r="U1311" s="26" t="s">
        <v>316</v>
      </c>
      <c r="W1311" s="33"/>
      <c r="X1311" s="40">
        <f>X1310+1.11</f>
        <v>2291.9044400000002</v>
      </c>
      <c r="Y1311" s="40"/>
      <c r="AG1311" s="47">
        <f t="shared" si="158"/>
        <v>0</v>
      </c>
    </row>
    <row r="1312" spans="6:33" ht="24" customHeight="1">
      <c r="H1312" s="42" t="s">
        <v>403</v>
      </c>
      <c r="K1312" s="39">
        <f>(K1310/10)</f>
        <v>501.08127999999999</v>
      </c>
      <c r="M1312" s="26" t="s">
        <v>27</v>
      </c>
      <c r="N1312" s="29"/>
      <c r="Q1312" s="33"/>
      <c r="S1312" s="28"/>
      <c r="T1312" s="29"/>
      <c r="U1312" s="26" t="s">
        <v>318</v>
      </c>
      <c r="W1312" s="33"/>
      <c r="X1312" s="40">
        <f>X1311+Z1308</f>
        <v>2291.9044400000002</v>
      </c>
      <c r="Y1312" s="40"/>
      <c r="AG1312" s="47">
        <f t="shared" si="158"/>
        <v>0</v>
      </c>
    </row>
    <row r="1313" spans="6:33" ht="24" customHeight="1">
      <c r="F1313" s="26" t="s">
        <v>27</v>
      </c>
      <c r="N1313" s="29"/>
      <c r="Q1313" s="33"/>
      <c r="R1313" s="35" t="s">
        <v>41</v>
      </c>
      <c r="S1313" s="28"/>
      <c r="T1313" s="29"/>
      <c r="U1313" s="26" t="s">
        <v>707</v>
      </c>
      <c r="W1313" s="33"/>
      <c r="X1313" s="40">
        <f>X1312+Z1308</f>
        <v>2291.9044400000002</v>
      </c>
      <c r="Y1313" s="40"/>
      <c r="AG1313" s="47">
        <f t="shared" si="158"/>
        <v>0</v>
      </c>
    </row>
    <row r="1314" spans="6:33" ht="24" customHeight="1">
      <c r="K1314" s="35" t="s">
        <v>41</v>
      </c>
      <c r="N1314" s="29"/>
      <c r="Q1314" s="33"/>
      <c r="S1314" s="28"/>
      <c r="T1314" s="29"/>
      <c r="W1314" s="33"/>
      <c r="AG1314" s="47">
        <f t="shared" si="158"/>
        <v>0</v>
      </c>
    </row>
    <row r="1315" spans="6:33" ht="24" customHeight="1">
      <c r="F1315" s="27" t="s">
        <v>1551</v>
      </c>
      <c r="G1315" s="38" t="s">
        <v>67</v>
      </c>
      <c r="H1315" s="30" t="s">
        <v>1552</v>
      </c>
      <c r="M1315" s="27" t="s">
        <v>1553</v>
      </c>
      <c r="N1315" s="38" t="s">
        <v>67</v>
      </c>
      <c r="O1315" s="26" t="s">
        <v>1554</v>
      </c>
      <c r="Q1315" s="33"/>
      <c r="AG1315" s="47">
        <f t="shared" si="158"/>
        <v>0</v>
      </c>
    </row>
    <row r="1316" spans="6:33" ht="24" customHeight="1">
      <c r="H1316" s="26" t="s">
        <v>1555</v>
      </c>
      <c r="N1316" s="29"/>
      <c r="O1316" s="26" t="s">
        <v>1536</v>
      </c>
      <c r="Q1316" s="33"/>
      <c r="S1316" s="132">
        <v>15.1</v>
      </c>
      <c r="T1316" s="38" t="s">
        <v>850</v>
      </c>
      <c r="U1316" s="26" t="s">
        <v>1556</v>
      </c>
      <c r="W1316" s="33"/>
      <c r="AG1316" s="47">
        <f t="shared" si="158"/>
        <v>0</v>
      </c>
    </row>
    <row r="1317" spans="6:33" ht="24" customHeight="1">
      <c r="H1317" s="26" t="s">
        <v>1557</v>
      </c>
      <c r="N1317" s="29"/>
      <c r="O1317" s="30" t="s">
        <v>1558</v>
      </c>
      <c r="Q1317" s="33"/>
      <c r="S1317" s="28"/>
      <c r="T1317" s="29"/>
      <c r="U1317" s="26" t="s">
        <v>786</v>
      </c>
      <c r="W1317" s="33"/>
      <c r="AG1317" s="47">
        <f t="shared" si="158"/>
        <v>0</v>
      </c>
    </row>
    <row r="1318" spans="6:33" ht="24" customHeight="1">
      <c r="H1318" s="26" t="s">
        <v>1559</v>
      </c>
      <c r="N1318" s="29"/>
      <c r="O1318" s="35" t="s">
        <v>48</v>
      </c>
      <c r="Q1318" s="33"/>
      <c r="S1318" s="40">
        <v>10</v>
      </c>
      <c r="T1318" s="38" t="s">
        <v>788</v>
      </c>
      <c r="U1318" s="26" t="s">
        <v>1560</v>
      </c>
      <c r="V1318" s="49">
        <f>AD1188</f>
        <v>1706</v>
      </c>
      <c r="W1318" s="27" t="s">
        <v>788</v>
      </c>
      <c r="X1318" s="40">
        <f>(S1318*V1318)</f>
        <v>17060</v>
      </c>
      <c r="Y1318" s="40"/>
      <c r="AG1318" s="47">
        <f t="shared" si="158"/>
        <v>0</v>
      </c>
    </row>
    <row r="1319" spans="6:33" ht="24" customHeight="1">
      <c r="H1319" s="26" t="s">
        <v>1561</v>
      </c>
      <c r="M1319" s="40">
        <v>1.4</v>
      </c>
      <c r="N1319" s="38" t="s">
        <v>1543</v>
      </c>
      <c r="O1319" s="209" t="s">
        <v>1562</v>
      </c>
      <c r="P1319" s="72">
        <v>289.8</v>
      </c>
      <c r="Q1319" s="27" t="s">
        <v>1543</v>
      </c>
      <c r="R1319" s="40">
        <f>(M1319*P1319)</f>
        <v>405.71999999999997</v>
      </c>
      <c r="S1319" s="40">
        <v>0.21</v>
      </c>
      <c r="T1319" s="38" t="s">
        <v>93</v>
      </c>
      <c r="U1319" s="26" t="s">
        <v>857</v>
      </c>
      <c r="V1319" s="138">
        <f>V1299</f>
        <v>5671.64</v>
      </c>
      <c r="W1319" s="27" t="s">
        <v>93</v>
      </c>
      <c r="X1319" s="40">
        <f t="shared" ref="X1319:X1324" si="161">(S1319*V1319)</f>
        <v>1191.0444</v>
      </c>
      <c r="Y1319" s="40"/>
      <c r="AG1319" s="47">
        <f t="shared" si="158"/>
        <v>0</v>
      </c>
    </row>
    <row r="1320" spans="6:33" ht="24" customHeight="1">
      <c r="H1320" s="35" t="s">
        <v>48</v>
      </c>
      <c r="M1320" s="40">
        <v>0.98</v>
      </c>
      <c r="N1320" s="38" t="s">
        <v>1543</v>
      </c>
      <c r="O1320" s="96" t="s">
        <v>1563</v>
      </c>
      <c r="P1320" s="48">
        <f>C196</f>
        <v>144.69999999999999</v>
      </c>
      <c r="Q1320" s="27" t="s">
        <v>1543</v>
      </c>
      <c r="R1320" s="40">
        <f>(M1320*P1320)</f>
        <v>141.80599999999998</v>
      </c>
      <c r="S1320" s="40">
        <v>1.1000000000000001</v>
      </c>
      <c r="T1320" s="38" t="s">
        <v>791</v>
      </c>
      <c r="U1320" s="26" t="s">
        <v>792</v>
      </c>
      <c r="V1320" s="49">
        <f t="shared" ref="V1320:V1325" si="162">V1300</f>
        <v>1076.5999999999999</v>
      </c>
      <c r="W1320" s="27" t="s">
        <v>793</v>
      </c>
      <c r="X1320" s="40">
        <f t="shared" si="161"/>
        <v>1184.26</v>
      </c>
      <c r="Y1320" s="40"/>
      <c r="AG1320" s="47">
        <f t="shared" si="158"/>
        <v>0</v>
      </c>
    </row>
    <row r="1321" spans="6:33" ht="24" customHeight="1">
      <c r="F1321" s="40">
        <v>12.8</v>
      </c>
      <c r="G1321" s="38" t="s">
        <v>93</v>
      </c>
      <c r="H1321" s="26" t="s">
        <v>1564</v>
      </c>
      <c r="I1321" s="40">
        <f>(C82)</f>
        <v>1833.85</v>
      </c>
      <c r="J1321" s="26" t="s">
        <v>93</v>
      </c>
      <c r="K1321" s="40">
        <f>(F1321*I1321)</f>
        <v>23473.279999999999</v>
      </c>
      <c r="M1321" s="40">
        <v>2.2000000000000002</v>
      </c>
      <c r="N1321" s="38" t="s">
        <v>196</v>
      </c>
      <c r="O1321" s="26" t="s">
        <v>1545</v>
      </c>
      <c r="P1321" s="40">
        <f>P1302</f>
        <v>861</v>
      </c>
      <c r="Q1321" s="27" t="s">
        <v>196</v>
      </c>
      <c r="R1321" s="40">
        <f>(M1321*P1321)</f>
        <v>1894.2</v>
      </c>
      <c r="S1321" s="40">
        <v>1.1000000000000001</v>
      </c>
      <c r="T1321" s="38" t="s">
        <v>791</v>
      </c>
      <c r="U1321" s="26" t="s">
        <v>1476</v>
      </c>
      <c r="V1321" s="49">
        <f t="shared" si="162"/>
        <v>1005.1999999999999</v>
      </c>
      <c r="W1321" s="27" t="s">
        <v>793</v>
      </c>
      <c r="X1321" s="40">
        <f t="shared" si="161"/>
        <v>1105.72</v>
      </c>
      <c r="Y1321" s="40"/>
      <c r="AG1321" s="47">
        <f t="shared" si="158"/>
        <v>0</v>
      </c>
    </row>
    <row r="1322" spans="6:33" ht="24" customHeight="1">
      <c r="F1322" s="40">
        <v>5</v>
      </c>
      <c r="G1322" s="38" t="s">
        <v>93</v>
      </c>
      <c r="H1322" s="26" t="s">
        <v>1565</v>
      </c>
      <c r="I1322" s="40">
        <f>(C85)</f>
        <v>2039.8500000000001</v>
      </c>
      <c r="J1322" s="26" t="s">
        <v>93</v>
      </c>
      <c r="K1322" s="40">
        <f>(F1322*I1322)</f>
        <v>10199.25</v>
      </c>
      <c r="N1322" s="38" t="s">
        <v>106</v>
      </c>
      <c r="O1322" s="26" t="s">
        <v>1452</v>
      </c>
      <c r="P1322" s="26" t="s">
        <v>27</v>
      </c>
      <c r="Q1322" s="27" t="s">
        <v>106</v>
      </c>
      <c r="R1322" s="40">
        <v>2.5499999999999998</v>
      </c>
      <c r="S1322" s="40">
        <v>2.2000000000000002</v>
      </c>
      <c r="T1322" s="38" t="s">
        <v>791</v>
      </c>
      <c r="U1322" s="26" t="s">
        <v>795</v>
      </c>
      <c r="V1322" s="49">
        <f t="shared" si="162"/>
        <v>702.8</v>
      </c>
      <c r="W1322" s="27" t="s">
        <v>793</v>
      </c>
      <c r="X1322" s="40">
        <f t="shared" si="161"/>
        <v>1546.16</v>
      </c>
      <c r="Y1322" s="40"/>
      <c r="AG1322" s="47">
        <f t="shared" si="158"/>
        <v>0</v>
      </c>
    </row>
    <row r="1323" spans="6:33" ht="24" customHeight="1">
      <c r="F1323" s="40">
        <v>1.8</v>
      </c>
      <c r="G1323" s="38" t="s">
        <v>196</v>
      </c>
      <c r="H1323" s="26" t="s">
        <v>298</v>
      </c>
      <c r="I1323" s="40">
        <f>(C10)</f>
        <v>1076.5999999999999</v>
      </c>
      <c r="J1323" s="26" t="s">
        <v>196</v>
      </c>
      <c r="K1323" s="40">
        <f>(F1323*I1323)</f>
        <v>1937.8799999999999</v>
      </c>
      <c r="N1323" s="29"/>
      <c r="Q1323" s="33"/>
      <c r="R1323" s="35"/>
      <c r="S1323" s="40">
        <v>2.2000000000000002</v>
      </c>
      <c r="T1323" s="38" t="s">
        <v>791</v>
      </c>
      <c r="U1323" s="26" t="s">
        <v>1548</v>
      </c>
      <c r="V1323" s="49">
        <f t="shared" si="162"/>
        <v>576.79999999999995</v>
      </c>
      <c r="W1323" s="27" t="s">
        <v>793</v>
      </c>
      <c r="X1323" s="40">
        <f t="shared" si="161"/>
        <v>1268.96</v>
      </c>
      <c r="Y1323" s="40"/>
      <c r="AG1323" s="47">
        <f t="shared" si="158"/>
        <v>0</v>
      </c>
    </row>
    <row r="1324" spans="6:33" ht="24" customHeight="1">
      <c r="F1324" s="40">
        <v>17.7</v>
      </c>
      <c r="G1324" s="38" t="s">
        <v>196</v>
      </c>
      <c r="H1324" s="26" t="s">
        <v>1482</v>
      </c>
      <c r="I1324" s="40">
        <f>(C12)</f>
        <v>702.8</v>
      </c>
      <c r="J1324" s="26" t="s">
        <v>196</v>
      </c>
      <c r="K1324" s="40">
        <f>(F1324*I1324)</f>
        <v>12439.56</v>
      </c>
      <c r="N1324" s="29"/>
      <c r="O1324" s="26" t="s">
        <v>401</v>
      </c>
      <c r="Q1324" s="33"/>
      <c r="R1324" s="40">
        <f>SUM(R1319:R1322)</f>
        <v>2444.2760000000003</v>
      </c>
      <c r="S1324" s="40">
        <v>10</v>
      </c>
      <c r="T1324" s="38" t="s">
        <v>106</v>
      </c>
      <c r="U1324" s="26" t="s">
        <v>1549</v>
      </c>
      <c r="V1324" s="49">
        <f t="shared" si="162"/>
        <v>153.47</v>
      </c>
      <c r="W1324" s="27" t="s">
        <v>106</v>
      </c>
      <c r="X1324" s="40">
        <f t="shared" si="161"/>
        <v>1534.7</v>
      </c>
      <c r="Y1324" s="40"/>
      <c r="AG1324" s="47">
        <f t="shared" si="158"/>
        <v>0</v>
      </c>
    </row>
    <row r="1325" spans="6:33" ht="24" customHeight="1">
      <c r="F1325" s="40">
        <v>14.1</v>
      </c>
      <c r="G1325" s="38" t="s">
        <v>196</v>
      </c>
      <c r="H1325" s="26" t="s">
        <v>276</v>
      </c>
      <c r="I1325" s="40">
        <f>(C13)</f>
        <v>576.79999999999995</v>
      </c>
      <c r="J1325" s="26" t="s">
        <v>196</v>
      </c>
      <c r="K1325" s="40">
        <f>(F1325*I1325)</f>
        <v>8132.8799999999992</v>
      </c>
      <c r="N1325" s="29"/>
      <c r="Q1325" s="33"/>
      <c r="R1325" s="35" t="s">
        <v>48</v>
      </c>
      <c r="S1325" s="28"/>
      <c r="T1325" s="29"/>
      <c r="U1325" s="26"/>
      <c r="V1325" s="49">
        <f t="shared" si="162"/>
        <v>0</v>
      </c>
      <c r="W1325" s="33"/>
      <c r="X1325" s="35" t="s">
        <v>48</v>
      </c>
      <c r="Y1325" s="35"/>
      <c r="AG1325" s="47">
        <f t="shared" si="158"/>
        <v>0</v>
      </c>
    </row>
    <row r="1326" spans="6:33" ht="24" customHeight="1">
      <c r="G1326" s="38" t="s">
        <v>106</v>
      </c>
      <c r="H1326" s="26" t="s">
        <v>107</v>
      </c>
      <c r="J1326" s="26" t="s">
        <v>106</v>
      </c>
      <c r="K1326" s="40">
        <v>0</v>
      </c>
      <c r="N1326" s="29"/>
      <c r="O1326" s="26" t="s">
        <v>403</v>
      </c>
      <c r="Q1326" s="33"/>
      <c r="R1326" s="39">
        <f>(R1324/10)</f>
        <v>244.42760000000004</v>
      </c>
      <c r="S1326" s="28">
        <f>R1326-157</f>
        <v>87.427600000000041</v>
      </c>
      <c r="T1326" s="29"/>
      <c r="U1326" s="27" t="s">
        <v>867</v>
      </c>
      <c r="W1326" s="33"/>
      <c r="X1326" s="40">
        <f>SUM(X1318:X1324)</f>
        <v>24890.844399999998</v>
      </c>
      <c r="Y1326" s="40"/>
      <c r="AG1326" s="47">
        <f t="shared" si="158"/>
        <v>0</v>
      </c>
    </row>
    <row r="1327" spans="6:33" ht="24" customHeight="1">
      <c r="K1327" s="35" t="s">
        <v>48</v>
      </c>
      <c r="M1327" s="26" t="s">
        <v>27</v>
      </c>
      <c r="N1327" s="29"/>
      <c r="Q1327" s="33"/>
      <c r="S1327" s="28"/>
      <c r="T1327" s="29"/>
      <c r="W1327" s="33"/>
      <c r="X1327" s="35" t="s">
        <v>48</v>
      </c>
      <c r="Y1327" s="35"/>
      <c r="AG1327" s="47">
        <f t="shared" si="158"/>
        <v>0</v>
      </c>
    </row>
    <row r="1328" spans="6:33" ht="24" customHeight="1">
      <c r="H1328" s="26" t="s">
        <v>280</v>
      </c>
      <c r="K1328" s="40">
        <f>SUM(K1321:K1327)</f>
        <v>56182.849999999991</v>
      </c>
      <c r="N1328" s="29"/>
      <c r="Q1328" s="33"/>
      <c r="R1328" s="35" t="s">
        <v>41</v>
      </c>
      <c r="S1328" s="28"/>
      <c r="T1328" s="29"/>
      <c r="U1328" s="27" t="s">
        <v>872</v>
      </c>
      <c r="W1328" s="33"/>
      <c r="X1328" s="39">
        <f>X1326/10</f>
        <v>2489.0844399999996</v>
      </c>
      <c r="Y1328" s="39"/>
      <c r="AG1328" s="47">
        <f t="shared" si="158"/>
        <v>0</v>
      </c>
    </row>
    <row r="1329" spans="6:33" ht="24" customHeight="1">
      <c r="K1329" s="35" t="s">
        <v>48</v>
      </c>
      <c r="N1329" s="29"/>
      <c r="Q1329" s="33"/>
      <c r="AG1329" s="47">
        <f t="shared" si="158"/>
        <v>0</v>
      </c>
    </row>
    <row r="1330" spans="6:33" ht="24" customHeight="1">
      <c r="H1330" s="42" t="s">
        <v>201</v>
      </c>
      <c r="K1330" s="39">
        <f>(K1328/10)</f>
        <v>5618.2849999999989</v>
      </c>
      <c r="M1330" s="132">
        <v>15.1</v>
      </c>
      <c r="N1330" s="38" t="s">
        <v>850</v>
      </c>
      <c r="O1330" s="26" t="s">
        <v>1556</v>
      </c>
      <c r="Q1330" s="33"/>
      <c r="T1330" s="30" t="s">
        <v>1566</v>
      </c>
      <c r="AG1330" s="47">
        <f t="shared" si="158"/>
        <v>0</v>
      </c>
    </row>
    <row r="1331" spans="6:33" ht="24" customHeight="1">
      <c r="K1331" s="35" t="s">
        <v>41</v>
      </c>
      <c r="N1331" s="29"/>
      <c r="O1331" s="26" t="s">
        <v>786</v>
      </c>
      <c r="Q1331" s="33"/>
      <c r="S1331" s="40">
        <v>10</v>
      </c>
      <c r="T1331" s="38" t="s">
        <v>438</v>
      </c>
      <c r="U1331" s="26" t="s">
        <v>1567</v>
      </c>
      <c r="V1331" s="49">
        <v>464</v>
      </c>
      <c r="W1331" s="26" t="s">
        <v>438</v>
      </c>
      <c r="X1331" s="40">
        <f>(S1331*V1331)</f>
        <v>4640</v>
      </c>
      <c r="Y1331" s="40"/>
      <c r="AA1331" s="28">
        <v>9</v>
      </c>
      <c r="AC1331" s="28" t="s">
        <v>1568</v>
      </c>
      <c r="AD1331" s="28">
        <f>AE44</f>
        <v>903.5</v>
      </c>
      <c r="AE1331" s="28">
        <f>AD1331*AA1331</f>
        <v>8131.5</v>
      </c>
      <c r="AG1331" s="47">
        <f t="shared" si="158"/>
        <v>0</v>
      </c>
    </row>
    <row r="1332" spans="6:33" ht="38.25" customHeight="1">
      <c r="M1332" s="40">
        <v>10</v>
      </c>
      <c r="N1332" s="38" t="s">
        <v>788</v>
      </c>
      <c r="O1332" s="210" t="s">
        <v>1569</v>
      </c>
      <c r="P1332" s="49">
        <v>1595</v>
      </c>
      <c r="Q1332" s="27" t="s">
        <v>788</v>
      </c>
      <c r="R1332" s="40">
        <f>(M1332*P1332)</f>
        <v>15950</v>
      </c>
      <c r="S1332" s="40">
        <v>0.21</v>
      </c>
      <c r="T1332" s="38" t="s">
        <v>93</v>
      </c>
      <c r="U1332" s="26" t="s">
        <v>1488</v>
      </c>
      <c r="V1332" s="40">
        <f>P1333</f>
        <v>5671.64</v>
      </c>
      <c r="W1332" s="26" t="s">
        <v>93</v>
      </c>
      <c r="X1332" s="40">
        <f>(S1332*V1332)</f>
        <v>1191.0444</v>
      </c>
      <c r="Y1332" s="40"/>
      <c r="AA1332" s="28">
        <v>4.5</v>
      </c>
      <c r="AC1332" s="26" t="s">
        <v>1524</v>
      </c>
      <c r="AD1332" s="28">
        <f>K23</f>
        <v>7063.64</v>
      </c>
      <c r="AE1332" s="28">
        <f>AD1332*AA1332</f>
        <v>31786.38</v>
      </c>
      <c r="AG1332" s="47">
        <f t="shared" si="158"/>
        <v>0</v>
      </c>
    </row>
    <row r="1333" spans="6:33" ht="24" customHeight="1">
      <c r="G1333" s="38" t="s">
        <v>386</v>
      </c>
      <c r="H1333" s="26" t="s">
        <v>1570</v>
      </c>
      <c r="M1333" s="40">
        <v>0.12</v>
      </c>
      <c r="N1333" s="38" t="s">
        <v>93</v>
      </c>
      <c r="O1333" s="26" t="s">
        <v>857</v>
      </c>
      <c r="P1333" s="40">
        <f>K32</f>
        <v>5671.64</v>
      </c>
      <c r="Q1333" s="27" t="s">
        <v>93</v>
      </c>
      <c r="R1333" s="40">
        <f>(M1333*P1333)</f>
        <v>680.59680000000003</v>
      </c>
      <c r="S1333" s="28">
        <v>10</v>
      </c>
      <c r="T1333" s="29"/>
      <c r="U1333" s="26" t="s">
        <v>1571</v>
      </c>
      <c r="V1333" s="138">
        <f>K1344</f>
        <v>342.41856000000001</v>
      </c>
      <c r="W1333" s="31"/>
      <c r="X1333" s="40">
        <f>(S1333*V1333)</f>
        <v>3424.1856000000002</v>
      </c>
      <c r="Y1333" s="40"/>
      <c r="AA1333" s="28">
        <v>1.8</v>
      </c>
      <c r="AC1333" s="26" t="s">
        <v>269</v>
      </c>
      <c r="AD1333" s="28">
        <f>V1335</f>
        <v>1005.1999999999999</v>
      </c>
      <c r="AE1333" s="28">
        <f>AD1333*AA1333</f>
        <v>1809.36</v>
      </c>
      <c r="AG1333" s="47">
        <f t="shared" si="158"/>
        <v>0</v>
      </c>
    </row>
    <row r="1334" spans="6:33" ht="31.5" customHeight="1">
      <c r="H1334" s="26" t="s">
        <v>1572</v>
      </c>
      <c r="M1334" s="40">
        <v>1</v>
      </c>
      <c r="N1334" s="38" t="s">
        <v>791</v>
      </c>
      <c r="O1334" s="26" t="s">
        <v>792</v>
      </c>
      <c r="P1334" s="40">
        <f>I1305</f>
        <v>1076.5999999999999</v>
      </c>
      <c r="Q1334" s="27" t="s">
        <v>793</v>
      </c>
      <c r="R1334" s="40">
        <f>(M1334*P1334)</f>
        <v>1076.5999999999999</v>
      </c>
      <c r="S1334" s="40">
        <v>1.1000000000000001</v>
      </c>
      <c r="T1334" s="211" t="s">
        <v>196</v>
      </c>
      <c r="U1334" s="26" t="s">
        <v>298</v>
      </c>
      <c r="V1334" s="40">
        <f>AG9</f>
        <v>1076.5999999999999</v>
      </c>
      <c r="W1334" s="27" t="s">
        <v>196</v>
      </c>
      <c r="X1334" s="40">
        <f t="shared" ref="X1334:X1341" si="163">S1334*V1334</f>
        <v>1184.26</v>
      </c>
      <c r="Y1334" s="40"/>
      <c r="AA1334" s="28">
        <v>17.7</v>
      </c>
      <c r="AC1334" s="26" t="s">
        <v>271</v>
      </c>
      <c r="AD1334" s="28">
        <f>V1336</f>
        <v>702.8</v>
      </c>
      <c r="AE1334" s="28">
        <f>AD1334*AA1334</f>
        <v>12439.56</v>
      </c>
      <c r="AG1334" s="47">
        <f t="shared" si="158"/>
        <v>0</v>
      </c>
    </row>
    <row r="1335" spans="6:33" ht="38.25" customHeight="1">
      <c r="H1335" s="35" t="s">
        <v>48</v>
      </c>
      <c r="L1335" s="28">
        <f>SUM(K1355:K1360)</f>
        <v>8964.5316000000003</v>
      </c>
      <c r="M1335" s="40">
        <v>1</v>
      </c>
      <c r="N1335" s="38" t="s">
        <v>791</v>
      </c>
      <c r="O1335" s="26" t="s">
        <v>795</v>
      </c>
      <c r="P1335" s="40">
        <f>I1306</f>
        <v>702.8</v>
      </c>
      <c r="Q1335" s="27" t="s">
        <v>793</v>
      </c>
      <c r="R1335" s="40">
        <f>(M1335*P1335)</f>
        <v>702.8</v>
      </c>
      <c r="S1335" s="40">
        <v>2.1</v>
      </c>
      <c r="T1335" s="211" t="s">
        <v>196</v>
      </c>
      <c r="U1335" s="26" t="s">
        <v>269</v>
      </c>
      <c r="V1335" s="40">
        <f>AG10</f>
        <v>1005.1999999999999</v>
      </c>
      <c r="W1335" s="27" t="s">
        <v>196</v>
      </c>
      <c r="X1335" s="40">
        <f t="shared" si="163"/>
        <v>2110.92</v>
      </c>
      <c r="Y1335" s="40"/>
      <c r="AA1335" s="28">
        <v>14.1</v>
      </c>
      <c r="AC1335" s="26" t="s">
        <v>276</v>
      </c>
      <c r="AD1335" s="28">
        <f>V1337</f>
        <v>576.79999999999995</v>
      </c>
      <c r="AE1335" s="28">
        <f>AD1335*AA1335</f>
        <v>8132.8799999999992</v>
      </c>
      <c r="AG1335" s="47">
        <f t="shared" si="158"/>
        <v>0</v>
      </c>
    </row>
    <row r="1336" spans="6:33" ht="24" customHeight="1">
      <c r="F1336" s="40">
        <v>0.04</v>
      </c>
      <c r="G1336" s="38" t="s">
        <v>93</v>
      </c>
      <c r="H1336" s="26" t="s">
        <v>1573</v>
      </c>
      <c r="I1336" s="40">
        <f>(K32)</f>
        <v>5671.64</v>
      </c>
      <c r="J1336" s="26" t="s">
        <v>93</v>
      </c>
      <c r="K1336" s="40">
        <f>(F1336*I1336)</f>
        <v>226.86560000000003</v>
      </c>
      <c r="N1336" s="38" t="s">
        <v>106</v>
      </c>
      <c r="O1336" s="26" t="s">
        <v>797</v>
      </c>
      <c r="Q1336" s="27" t="s">
        <v>106</v>
      </c>
      <c r="R1336" s="40">
        <v>0.33</v>
      </c>
      <c r="S1336" s="40">
        <v>2.2000000000000002</v>
      </c>
      <c r="T1336" s="211" t="s">
        <v>196</v>
      </c>
      <c r="U1336" s="26" t="s">
        <v>271</v>
      </c>
      <c r="V1336" s="40">
        <f>AG11</f>
        <v>702.8</v>
      </c>
      <c r="W1336" s="27" t="s">
        <v>196</v>
      </c>
      <c r="X1336" s="40">
        <f t="shared" si="163"/>
        <v>1546.16</v>
      </c>
      <c r="Y1336" s="40"/>
      <c r="AE1336" s="28">
        <f>SUM(AE1331:AE1335)</f>
        <v>62299.68</v>
      </c>
      <c r="AG1336" s="47">
        <f t="shared" si="158"/>
        <v>0</v>
      </c>
    </row>
    <row r="1337" spans="6:33" ht="24" customHeight="1">
      <c r="F1337" s="40">
        <v>2.2000000000000002</v>
      </c>
      <c r="G1337" s="38" t="s">
        <v>196</v>
      </c>
      <c r="H1337" s="26" t="s">
        <v>269</v>
      </c>
      <c r="I1337" s="40">
        <f>(C11)</f>
        <v>1005.1999999999999</v>
      </c>
      <c r="J1337" s="26" t="s">
        <v>196</v>
      </c>
      <c r="K1337" s="40">
        <f>(F1337*I1337)</f>
        <v>2211.44</v>
      </c>
      <c r="L1337" s="28">
        <f>SUM(K1355:K1360)</f>
        <v>8964.5316000000003</v>
      </c>
      <c r="N1337" s="29"/>
      <c r="O1337" s="26" t="s">
        <v>799</v>
      </c>
      <c r="Q1337" s="33"/>
      <c r="R1337" s="35" t="s">
        <v>48</v>
      </c>
      <c r="S1337" s="40">
        <v>1.1000000000000001</v>
      </c>
      <c r="T1337" s="211" t="s">
        <v>196</v>
      </c>
      <c r="U1337" s="26" t="s">
        <v>276</v>
      </c>
      <c r="V1337" s="40">
        <f>AG12</f>
        <v>576.79999999999995</v>
      </c>
      <c r="W1337" s="27" t="s">
        <v>196</v>
      </c>
      <c r="X1337" s="40">
        <f t="shared" si="163"/>
        <v>634.48</v>
      </c>
      <c r="Y1337" s="40"/>
      <c r="AE1337" s="28">
        <f>AE1336/10</f>
        <v>6229.9679999999998</v>
      </c>
      <c r="AG1337" s="47">
        <f t="shared" si="158"/>
        <v>0</v>
      </c>
    </row>
    <row r="1338" spans="6:33" ht="24" customHeight="1">
      <c r="F1338" s="40">
        <v>0.5</v>
      </c>
      <c r="G1338" s="38" t="s">
        <v>196</v>
      </c>
      <c r="H1338" s="26" t="s">
        <v>271</v>
      </c>
      <c r="I1338" s="40">
        <f>(C12)</f>
        <v>702.8</v>
      </c>
      <c r="J1338" s="26" t="s">
        <v>196</v>
      </c>
      <c r="K1338" s="40">
        <f>(F1338*I1338)</f>
        <v>351.4</v>
      </c>
      <c r="N1338" s="29"/>
      <c r="O1338" s="27" t="s">
        <v>867</v>
      </c>
      <c r="Q1338" s="33"/>
      <c r="R1338" s="40">
        <f>SUM(R1332:R1336)</f>
        <v>18410.326799999999</v>
      </c>
      <c r="S1338" s="76">
        <v>6.5</v>
      </c>
      <c r="T1338" s="211" t="s">
        <v>392</v>
      </c>
      <c r="U1338" s="26" t="s">
        <v>1574</v>
      </c>
      <c r="V1338" s="40">
        <v>17.18</v>
      </c>
      <c r="W1338" s="27" t="s">
        <v>84</v>
      </c>
      <c r="X1338" s="40">
        <f t="shared" si="163"/>
        <v>111.67</v>
      </c>
      <c r="Y1338" s="40"/>
      <c r="AG1338" s="47">
        <f t="shared" si="158"/>
        <v>0</v>
      </c>
    </row>
    <row r="1339" spans="6:33" ht="24" customHeight="1">
      <c r="F1339" s="40">
        <v>1.1000000000000001</v>
      </c>
      <c r="G1339" s="38" t="s">
        <v>196</v>
      </c>
      <c r="H1339" s="26" t="s">
        <v>276</v>
      </c>
      <c r="I1339" s="40">
        <f>(C13)</f>
        <v>576.79999999999995</v>
      </c>
      <c r="J1339" s="26" t="s">
        <v>196</v>
      </c>
      <c r="K1339" s="40">
        <f>(F1339*I1339)</f>
        <v>634.48</v>
      </c>
      <c r="N1339" s="29"/>
      <c r="Q1339" s="33"/>
      <c r="R1339" s="35" t="s">
        <v>48</v>
      </c>
      <c r="S1339" s="76">
        <v>3</v>
      </c>
      <c r="T1339" s="211" t="s">
        <v>392</v>
      </c>
      <c r="U1339" s="26" t="s">
        <v>1575</v>
      </c>
      <c r="V1339" s="49">
        <f>C610</f>
        <v>26.8</v>
      </c>
      <c r="W1339" s="27" t="s">
        <v>392</v>
      </c>
      <c r="X1339" s="40">
        <f t="shared" si="163"/>
        <v>80.400000000000006</v>
      </c>
      <c r="Y1339" s="40"/>
      <c r="AG1339" s="47">
        <f t="shared" si="158"/>
        <v>0</v>
      </c>
    </row>
    <row r="1340" spans="6:33" ht="24" customHeight="1">
      <c r="G1340" s="38" t="s">
        <v>106</v>
      </c>
      <c r="H1340" s="26" t="s">
        <v>107</v>
      </c>
      <c r="J1340" s="26" t="s">
        <v>106</v>
      </c>
      <c r="K1340" s="40">
        <v>0</v>
      </c>
      <c r="N1340" s="29"/>
      <c r="O1340" s="27" t="s">
        <v>872</v>
      </c>
      <c r="Q1340" s="33"/>
      <c r="R1340" s="39">
        <f>R1338/10</f>
        <v>1841.0326799999998</v>
      </c>
      <c r="S1340" s="40">
        <v>2.15</v>
      </c>
      <c r="T1340" s="211" t="s">
        <v>196</v>
      </c>
      <c r="U1340" s="26" t="s">
        <v>1576</v>
      </c>
      <c r="V1340" s="40">
        <v>45.8</v>
      </c>
      <c r="W1340" s="27" t="s">
        <v>196</v>
      </c>
      <c r="X1340" s="40">
        <f t="shared" si="163"/>
        <v>98.469999999999985</v>
      </c>
      <c r="Y1340" s="40"/>
      <c r="AG1340" s="47">
        <f t="shared" si="158"/>
        <v>0</v>
      </c>
    </row>
    <row r="1341" spans="6:33" ht="24" customHeight="1">
      <c r="K1341" s="35" t="s">
        <v>48</v>
      </c>
      <c r="N1341" s="29"/>
      <c r="O1341" s="26" t="s">
        <v>309</v>
      </c>
      <c r="Q1341" s="33">
        <f>R1345+S1302</f>
        <v>1850.0626799999998</v>
      </c>
      <c r="R1341" s="40">
        <f>R1340+S1299</f>
        <v>1841.2426799999998</v>
      </c>
      <c r="S1341" s="212">
        <v>0.4</v>
      </c>
      <c r="T1341" s="213" t="s">
        <v>196</v>
      </c>
      <c r="U1341" s="214" t="s">
        <v>1577</v>
      </c>
      <c r="V1341" s="212"/>
      <c r="W1341" s="215" t="s">
        <v>196</v>
      </c>
      <c r="X1341" s="40">
        <f t="shared" si="163"/>
        <v>0</v>
      </c>
      <c r="Y1341" s="40"/>
      <c r="AG1341" s="47">
        <f t="shared" si="158"/>
        <v>0</v>
      </c>
    </row>
    <row r="1342" spans="6:33" ht="24" customHeight="1">
      <c r="H1342" s="26" t="s">
        <v>401</v>
      </c>
      <c r="K1342" s="40">
        <f>SUM(K1336:K1340)</f>
        <v>3424.1856000000002</v>
      </c>
      <c r="N1342" s="29"/>
      <c r="O1342" s="26" t="s">
        <v>313</v>
      </c>
      <c r="Q1342" s="33">
        <f>Q1341+S1302</f>
        <v>1852.2626799999998</v>
      </c>
      <c r="R1342" s="40">
        <f>R1341+1.11</f>
        <v>1842.3526799999997</v>
      </c>
      <c r="S1342" s="40"/>
      <c r="T1342" s="211"/>
      <c r="U1342" s="26"/>
      <c r="V1342" s="40"/>
      <c r="W1342" s="27" t="s">
        <v>196</v>
      </c>
      <c r="X1342" s="40">
        <f>(S1342*V1342)</f>
        <v>0</v>
      </c>
      <c r="Y1342" s="40"/>
      <c r="AG1342" s="47">
        <f t="shared" ref="AG1342:AG1405" si="164">AI1342</f>
        <v>0</v>
      </c>
    </row>
    <row r="1343" spans="6:33" ht="24" customHeight="1">
      <c r="K1343" s="35" t="s">
        <v>48</v>
      </c>
      <c r="N1343" s="29"/>
      <c r="O1343" s="26" t="s">
        <v>316</v>
      </c>
      <c r="Q1343" s="33"/>
      <c r="R1343" s="40">
        <f>R1342+1.11</f>
        <v>1843.4626799999996</v>
      </c>
      <c r="S1343" s="28"/>
      <c r="T1343" s="211" t="s">
        <v>106</v>
      </c>
      <c r="U1343" s="26" t="s">
        <v>107</v>
      </c>
      <c r="V1343" s="40"/>
      <c r="W1343" s="27" t="s">
        <v>106</v>
      </c>
      <c r="X1343" s="40">
        <v>0.8</v>
      </c>
      <c r="Y1343" s="40"/>
      <c r="AG1343" s="47">
        <f t="shared" si="164"/>
        <v>0</v>
      </c>
    </row>
    <row r="1344" spans="6:33" ht="24" customHeight="1">
      <c r="H1344" s="42" t="s">
        <v>403</v>
      </c>
      <c r="K1344" s="39">
        <f>(K1342/10)</f>
        <v>342.41856000000001</v>
      </c>
      <c r="N1344" s="29"/>
      <c r="O1344" s="26" t="s">
        <v>318</v>
      </c>
      <c r="Q1344" s="33"/>
      <c r="R1344" s="40">
        <f>R1343+S1302</f>
        <v>1845.6626799999997</v>
      </c>
      <c r="S1344" s="28"/>
      <c r="T1344" s="216"/>
      <c r="W1344" s="33"/>
      <c r="X1344" s="35" t="s">
        <v>48</v>
      </c>
      <c r="Y1344" s="35"/>
      <c r="AG1344" s="47">
        <f t="shared" si="164"/>
        <v>0</v>
      </c>
    </row>
    <row r="1345" spans="6:33" ht="24" customHeight="1">
      <c r="K1345" s="35" t="s">
        <v>41</v>
      </c>
      <c r="N1345" s="29"/>
      <c r="O1345" s="26" t="s">
        <v>707</v>
      </c>
      <c r="Q1345" s="33"/>
      <c r="R1345" s="40">
        <f>R1344+S1302</f>
        <v>1847.8626799999997</v>
      </c>
      <c r="S1345" s="28"/>
      <c r="T1345" s="216"/>
      <c r="U1345" s="26" t="s">
        <v>401</v>
      </c>
      <c r="W1345" s="33"/>
      <c r="X1345" s="40">
        <f>SUM(X1331:X1344)</f>
        <v>15022.389999999998</v>
      </c>
      <c r="Y1345" s="40"/>
      <c r="AG1345" s="47">
        <f t="shared" si="164"/>
        <v>0</v>
      </c>
    </row>
    <row r="1346" spans="6:33" ht="24" customHeight="1">
      <c r="N1346" s="29"/>
      <c r="Q1346" s="33"/>
      <c r="S1346" s="28"/>
      <c r="T1346" s="216"/>
      <c r="W1346" s="33"/>
      <c r="X1346" s="35" t="s">
        <v>48</v>
      </c>
      <c r="Y1346" s="35"/>
      <c r="AG1346" s="47">
        <f t="shared" si="164"/>
        <v>0</v>
      </c>
    </row>
    <row r="1347" spans="6:33" ht="24" customHeight="1">
      <c r="F1347" s="77">
        <v>32.1</v>
      </c>
      <c r="G1347" s="38" t="s">
        <v>67</v>
      </c>
      <c r="H1347" s="26" t="s">
        <v>1578</v>
      </c>
      <c r="N1347" s="29"/>
      <c r="Q1347" s="31"/>
      <c r="S1347" s="28"/>
      <c r="T1347" s="216"/>
      <c r="U1347" s="26" t="s">
        <v>403</v>
      </c>
      <c r="W1347" s="33"/>
      <c r="X1347" s="39">
        <f>(X1345/10)</f>
        <v>1502.2389999999998</v>
      </c>
      <c r="Y1347" s="39"/>
      <c r="Z1347" s="28">
        <f>0.8-0.77</f>
        <v>3.0000000000000027E-2</v>
      </c>
      <c r="AG1347" s="47">
        <f t="shared" si="164"/>
        <v>0</v>
      </c>
    </row>
    <row r="1348" spans="6:33" ht="24" customHeight="1">
      <c r="H1348" s="26" t="s">
        <v>1579</v>
      </c>
      <c r="N1348" s="29"/>
      <c r="Q1348" s="31"/>
      <c r="S1348" s="28"/>
      <c r="T1348" s="216"/>
      <c r="W1348" s="33"/>
      <c r="X1348" s="35" t="s">
        <v>41</v>
      </c>
      <c r="Y1348" s="35"/>
      <c r="AG1348" s="47">
        <f t="shared" si="164"/>
        <v>0</v>
      </c>
    </row>
    <row r="1349" spans="6:33" ht="24" customHeight="1">
      <c r="H1349" s="26" t="s">
        <v>1580</v>
      </c>
      <c r="N1349" s="29"/>
      <c r="Q1349" s="31"/>
      <c r="AG1349" s="47">
        <f t="shared" si="164"/>
        <v>0</v>
      </c>
    </row>
    <row r="1350" spans="6:33" ht="24" customHeight="1">
      <c r="H1350" s="26" t="s">
        <v>1581</v>
      </c>
      <c r="N1350" s="29"/>
      <c r="Q1350" s="31"/>
      <c r="Z1350" s="107">
        <v>3.02</v>
      </c>
      <c r="AA1350" s="38" t="s">
        <v>488</v>
      </c>
      <c r="AB1350" s="38"/>
      <c r="AC1350" s="26" t="s">
        <v>1582</v>
      </c>
      <c r="AD1350" s="40">
        <f t="shared" ref="AD1350:AD1361" si="165">V1352</f>
        <v>287</v>
      </c>
      <c r="AE1350" s="38" t="s">
        <v>488</v>
      </c>
      <c r="AF1350" s="40">
        <f t="shared" ref="AF1350:AF1361" si="166">AD1350*Z1350</f>
        <v>866.74</v>
      </c>
      <c r="AG1350" s="47">
        <f t="shared" si="164"/>
        <v>0</v>
      </c>
    </row>
    <row r="1351" spans="6:33" ht="24" customHeight="1">
      <c r="H1351" s="26" t="s">
        <v>1583</v>
      </c>
      <c r="N1351" s="29"/>
      <c r="O1351" s="28" t="s">
        <v>1584</v>
      </c>
      <c r="Q1351" s="33"/>
      <c r="T1351" s="29"/>
      <c r="U1351" s="184" t="s">
        <v>1585</v>
      </c>
      <c r="W1351" s="31"/>
      <c r="Z1351" s="107">
        <v>2.19</v>
      </c>
      <c r="AA1351" s="38" t="s">
        <v>488</v>
      </c>
      <c r="AB1351" s="38"/>
      <c r="AC1351" s="26" t="s">
        <v>1582</v>
      </c>
      <c r="AD1351" s="40">
        <f t="shared" si="165"/>
        <v>287</v>
      </c>
      <c r="AE1351" s="38" t="s">
        <v>488</v>
      </c>
      <c r="AF1351" s="40">
        <f t="shared" si="166"/>
        <v>628.53</v>
      </c>
      <c r="AG1351" s="47">
        <f t="shared" si="164"/>
        <v>0</v>
      </c>
    </row>
    <row r="1352" spans="6:33" ht="24" customHeight="1">
      <c r="H1352" s="35" t="s">
        <v>48</v>
      </c>
      <c r="N1352" s="29"/>
      <c r="Q1352" s="33"/>
      <c r="S1352" s="76">
        <v>3.72</v>
      </c>
      <c r="T1352" s="38" t="s">
        <v>488</v>
      </c>
      <c r="U1352" s="26" t="s">
        <v>1582</v>
      </c>
      <c r="V1352" s="40">
        <f>P1391</f>
        <v>287</v>
      </c>
      <c r="W1352" s="38" t="s">
        <v>488</v>
      </c>
      <c r="X1352" s="40">
        <f>V1352*S1352</f>
        <v>1067.6400000000001</v>
      </c>
      <c r="Y1352" s="40"/>
      <c r="Z1352" s="107">
        <v>4.96</v>
      </c>
      <c r="AA1352" s="38" t="s">
        <v>488</v>
      </c>
      <c r="AB1352" s="38"/>
      <c r="AC1352" s="26" t="s">
        <v>1582</v>
      </c>
      <c r="AD1352" s="40">
        <f t="shared" si="165"/>
        <v>287</v>
      </c>
      <c r="AE1352" s="38" t="s">
        <v>488</v>
      </c>
      <c r="AF1352" s="40">
        <f t="shared" si="166"/>
        <v>1423.52</v>
      </c>
      <c r="AG1352" s="47">
        <f t="shared" si="164"/>
        <v>0</v>
      </c>
    </row>
    <row r="1353" spans="6:33" ht="24" customHeight="1">
      <c r="F1353" s="40">
        <v>190</v>
      </c>
      <c r="G1353" s="38" t="s">
        <v>1420</v>
      </c>
      <c r="H1353" s="26" t="s">
        <v>1586</v>
      </c>
      <c r="I1353" s="40">
        <f>(C83)</f>
        <v>16106</v>
      </c>
      <c r="J1353" s="26" t="s">
        <v>325</v>
      </c>
      <c r="K1353" s="40">
        <f>(F1353*I1353)/1000</f>
        <v>3060.14</v>
      </c>
      <c r="M1353" s="28">
        <v>70</v>
      </c>
      <c r="N1353" s="29" t="s">
        <v>1125</v>
      </c>
      <c r="O1353" s="217" t="s">
        <v>1587</v>
      </c>
      <c r="P1353" s="105">
        <v>33</v>
      </c>
      <c r="Q1353" s="33" t="s">
        <v>1125</v>
      </c>
      <c r="R1353" s="28">
        <f>P1353*M1353</f>
        <v>2310</v>
      </c>
      <c r="S1353" s="76">
        <v>3.87</v>
      </c>
      <c r="T1353" s="38" t="s">
        <v>488</v>
      </c>
      <c r="U1353" s="26" t="s">
        <v>1582</v>
      </c>
      <c r="V1353" s="40">
        <f t="shared" ref="V1353:V1363" si="167">P1392</f>
        <v>287</v>
      </c>
      <c r="W1353" s="38" t="s">
        <v>488</v>
      </c>
      <c r="X1353" s="40">
        <f t="shared" ref="X1353:X1363" si="168">V1353*S1353</f>
        <v>1110.69</v>
      </c>
      <c r="Y1353" s="40"/>
      <c r="Z1353" s="107">
        <v>0.85</v>
      </c>
      <c r="AA1353" s="38" t="s">
        <v>488</v>
      </c>
      <c r="AB1353" s="38"/>
      <c r="AC1353" s="26" t="s">
        <v>1582</v>
      </c>
      <c r="AD1353" s="40">
        <f t="shared" si="165"/>
        <v>287</v>
      </c>
      <c r="AE1353" s="38" t="s">
        <v>488</v>
      </c>
      <c r="AF1353" s="40">
        <f t="shared" si="166"/>
        <v>243.95</v>
      </c>
      <c r="AG1353" s="47">
        <f t="shared" si="164"/>
        <v>0</v>
      </c>
    </row>
    <row r="1354" spans="6:33" ht="24" customHeight="1">
      <c r="F1354" s="40">
        <v>0.12</v>
      </c>
      <c r="G1354" s="38" t="s">
        <v>93</v>
      </c>
      <c r="H1354" s="26" t="s">
        <v>1488</v>
      </c>
      <c r="I1354" s="40">
        <f>(K32)</f>
        <v>5671.64</v>
      </c>
      <c r="J1354" s="26" t="s">
        <v>93</v>
      </c>
      <c r="K1354" s="38">
        <f t="shared" ref="K1354:K1360" si="169">(F1354*I1354)</f>
        <v>680.59680000000003</v>
      </c>
      <c r="N1354" s="29"/>
      <c r="Q1354" s="33"/>
      <c r="S1354" s="76">
        <v>7.46</v>
      </c>
      <c r="T1354" s="38" t="s">
        <v>488</v>
      </c>
      <c r="U1354" s="26" t="s">
        <v>1582</v>
      </c>
      <c r="V1354" s="40">
        <f t="shared" si="167"/>
        <v>287</v>
      </c>
      <c r="W1354" s="38" t="s">
        <v>488</v>
      </c>
      <c r="X1354" s="40">
        <f t="shared" si="168"/>
        <v>2141.02</v>
      </c>
      <c r="Y1354" s="40"/>
      <c r="Z1354" s="107">
        <v>0.73199999999999998</v>
      </c>
      <c r="AA1354" s="38" t="s">
        <v>480</v>
      </c>
      <c r="AB1354" s="38"/>
      <c r="AC1354" s="26" t="s">
        <v>1588</v>
      </c>
      <c r="AD1354" s="40">
        <f>V1356</f>
        <v>208.8</v>
      </c>
      <c r="AE1354" s="38" t="s">
        <v>480</v>
      </c>
      <c r="AF1354" s="40">
        <f t="shared" si="166"/>
        <v>152.8416</v>
      </c>
      <c r="AG1354" s="47">
        <f t="shared" si="164"/>
        <v>0</v>
      </c>
    </row>
    <row r="1355" spans="6:33" ht="24" customHeight="1">
      <c r="F1355" s="40">
        <v>10</v>
      </c>
      <c r="G1355" s="38" t="s">
        <v>438</v>
      </c>
      <c r="H1355" s="26" t="s">
        <v>1589</v>
      </c>
      <c r="I1355" s="40">
        <f>(K1344)</f>
        <v>342.41856000000001</v>
      </c>
      <c r="J1355" s="26" t="s">
        <v>438</v>
      </c>
      <c r="K1355" s="38">
        <f t="shared" si="169"/>
        <v>3424.1856000000002</v>
      </c>
      <c r="M1355" s="28">
        <v>0.3</v>
      </c>
      <c r="N1355" s="29" t="s">
        <v>249</v>
      </c>
      <c r="O1355" s="217" t="s">
        <v>1590</v>
      </c>
      <c r="P1355" s="105">
        <v>17600</v>
      </c>
      <c r="Q1355" s="33" t="s">
        <v>249</v>
      </c>
      <c r="R1355" s="28">
        <f>P1355*M1355</f>
        <v>5280</v>
      </c>
      <c r="S1355" s="76">
        <v>1.28</v>
      </c>
      <c r="T1355" s="38" t="s">
        <v>488</v>
      </c>
      <c r="U1355" s="26" t="s">
        <v>1582</v>
      </c>
      <c r="V1355" s="40">
        <f t="shared" si="167"/>
        <v>287</v>
      </c>
      <c r="W1355" s="38" t="s">
        <v>488</v>
      </c>
      <c r="X1355" s="40">
        <f t="shared" si="168"/>
        <v>367.36</v>
      </c>
      <c r="Y1355" s="40"/>
      <c r="Z1355" s="107">
        <v>6.8719999999999999</v>
      </c>
      <c r="AA1355" s="38" t="s">
        <v>1125</v>
      </c>
      <c r="AB1355" s="38"/>
      <c r="AC1355" s="26" t="s">
        <v>1591</v>
      </c>
      <c r="AD1355" s="40">
        <f t="shared" si="165"/>
        <v>28.6</v>
      </c>
      <c r="AE1355" s="38" t="s">
        <v>1125</v>
      </c>
      <c r="AF1355" s="40">
        <f t="shared" si="166"/>
        <v>196.53919999999999</v>
      </c>
      <c r="AG1355" s="47">
        <f t="shared" si="164"/>
        <v>0</v>
      </c>
    </row>
    <row r="1356" spans="6:33" ht="24" customHeight="1">
      <c r="F1356" s="76">
        <v>1.54</v>
      </c>
      <c r="G1356" s="38" t="s">
        <v>392</v>
      </c>
      <c r="H1356" s="26" t="s">
        <v>1592</v>
      </c>
      <c r="I1356" s="48">
        <f>C653</f>
        <v>41.9</v>
      </c>
      <c r="J1356" s="26" t="s">
        <v>392</v>
      </c>
      <c r="K1356" s="40">
        <f t="shared" si="169"/>
        <v>64.525999999999996</v>
      </c>
      <c r="N1356" s="29"/>
      <c r="Q1356" s="33"/>
      <c r="S1356" s="76">
        <v>1.107</v>
      </c>
      <c r="T1356" s="38" t="s">
        <v>480</v>
      </c>
      <c r="U1356" s="26" t="s">
        <v>1588</v>
      </c>
      <c r="V1356" s="40">
        <f t="shared" si="167"/>
        <v>208.8</v>
      </c>
      <c r="W1356" s="38" t="s">
        <v>480</v>
      </c>
      <c r="X1356" s="40">
        <f t="shared" si="168"/>
        <v>231.14160000000001</v>
      </c>
      <c r="Y1356" s="40"/>
      <c r="Z1356" s="107">
        <v>8</v>
      </c>
      <c r="AA1356" s="38" t="s">
        <v>196</v>
      </c>
      <c r="AB1356" s="38"/>
      <c r="AC1356" s="26" t="s">
        <v>1593</v>
      </c>
      <c r="AD1356" s="40">
        <f t="shared" si="165"/>
        <v>63.5</v>
      </c>
      <c r="AE1356" s="38" t="s">
        <v>196</v>
      </c>
      <c r="AF1356" s="40">
        <f t="shared" si="166"/>
        <v>508</v>
      </c>
      <c r="AG1356" s="47">
        <f t="shared" si="164"/>
        <v>0</v>
      </c>
    </row>
    <row r="1357" spans="6:33" ht="24" customHeight="1">
      <c r="F1357" s="40">
        <v>1.1000000000000001</v>
      </c>
      <c r="G1357" s="38" t="s">
        <v>196</v>
      </c>
      <c r="H1357" s="26" t="s">
        <v>298</v>
      </c>
      <c r="I1357" s="40">
        <f>(C10)</f>
        <v>1076.5999999999999</v>
      </c>
      <c r="J1357" s="26" t="s">
        <v>196</v>
      </c>
      <c r="K1357" s="40">
        <f t="shared" si="169"/>
        <v>1184.26</v>
      </c>
      <c r="N1357" s="29"/>
      <c r="O1357" s="28" t="s">
        <v>1594</v>
      </c>
      <c r="Q1357" s="33"/>
      <c r="R1357" s="28">
        <f>SUM(R1353:R1355)</f>
        <v>7590</v>
      </c>
      <c r="S1357" s="76">
        <v>10.343999999999999</v>
      </c>
      <c r="T1357" s="38" t="s">
        <v>1125</v>
      </c>
      <c r="U1357" s="26" t="s">
        <v>1591</v>
      </c>
      <c r="V1357" s="40">
        <f t="shared" si="167"/>
        <v>28.6</v>
      </c>
      <c r="W1357" s="38" t="s">
        <v>1125</v>
      </c>
      <c r="X1357" s="40">
        <f t="shared" si="168"/>
        <v>295.83839999999998</v>
      </c>
      <c r="Y1357" s="40"/>
      <c r="Z1357" s="107">
        <v>4</v>
      </c>
      <c r="AA1357" s="38" t="s">
        <v>196</v>
      </c>
      <c r="AB1357" s="38"/>
      <c r="AC1357" s="26" t="s">
        <v>1595</v>
      </c>
      <c r="AD1357" s="40">
        <f t="shared" si="165"/>
        <v>50.9</v>
      </c>
      <c r="AE1357" s="38" t="s">
        <v>196</v>
      </c>
      <c r="AF1357" s="40">
        <f t="shared" si="166"/>
        <v>203.6</v>
      </c>
      <c r="AG1357" s="47">
        <f t="shared" si="164"/>
        <v>0</v>
      </c>
    </row>
    <row r="1358" spans="6:33" ht="24" customHeight="1">
      <c r="F1358" s="40">
        <v>2.1</v>
      </c>
      <c r="G1358" s="38" t="s">
        <v>196</v>
      </c>
      <c r="H1358" s="26" t="s">
        <v>269</v>
      </c>
      <c r="I1358" s="40">
        <f>(C11)</f>
        <v>1005.1999999999999</v>
      </c>
      <c r="J1358" s="26" t="s">
        <v>196</v>
      </c>
      <c r="K1358" s="40">
        <f t="shared" si="169"/>
        <v>2110.92</v>
      </c>
      <c r="N1358" s="29"/>
      <c r="O1358" s="218" t="s">
        <v>1596</v>
      </c>
      <c r="Q1358" s="33"/>
      <c r="R1358" s="41">
        <f>R1357/10</f>
        <v>759</v>
      </c>
      <c r="S1358" s="76">
        <v>12</v>
      </c>
      <c r="T1358" s="38" t="s">
        <v>196</v>
      </c>
      <c r="U1358" s="26" t="s">
        <v>1597</v>
      </c>
      <c r="V1358" s="40">
        <f t="shared" si="167"/>
        <v>63.5</v>
      </c>
      <c r="W1358" s="38" t="s">
        <v>196</v>
      </c>
      <c r="X1358" s="40">
        <f t="shared" si="168"/>
        <v>762</v>
      </c>
      <c r="Y1358" s="40"/>
      <c r="Z1358" s="107">
        <v>4</v>
      </c>
      <c r="AA1358" s="38" t="s">
        <v>196</v>
      </c>
      <c r="AB1358" s="38"/>
      <c r="AC1358" s="26" t="s">
        <v>1598</v>
      </c>
      <c r="AD1358" s="40">
        <f t="shared" si="165"/>
        <v>30</v>
      </c>
      <c r="AE1358" s="38" t="s">
        <v>196</v>
      </c>
      <c r="AF1358" s="40">
        <f t="shared" si="166"/>
        <v>120</v>
      </c>
      <c r="AG1358" s="47">
        <f t="shared" si="164"/>
        <v>0</v>
      </c>
    </row>
    <row r="1359" spans="6:33" ht="24" customHeight="1">
      <c r="F1359" s="40">
        <v>2.2000000000000002</v>
      </c>
      <c r="G1359" s="38" t="s">
        <v>196</v>
      </c>
      <c r="H1359" s="26" t="s">
        <v>271</v>
      </c>
      <c r="I1359" s="40">
        <f>(C12)</f>
        <v>702.8</v>
      </c>
      <c r="J1359" s="26" t="s">
        <v>196</v>
      </c>
      <c r="K1359" s="40">
        <f t="shared" si="169"/>
        <v>1546.16</v>
      </c>
      <c r="N1359" s="29"/>
      <c r="Q1359" s="33"/>
      <c r="S1359" s="76">
        <v>6</v>
      </c>
      <c r="T1359" s="38" t="s">
        <v>196</v>
      </c>
      <c r="U1359" s="26" t="s">
        <v>1595</v>
      </c>
      <c r="V1359" s="40">
        <f t="shared" si="167"/>
        <v>50.9</v>
      </c>
      <c r="W1359" s="38" t="s">
        <v>196</v>
      </c>
      <c r="X1359" s="40">
        <f t="shared" si="168"/>
        <v>305.39999999999998</v>
      </c>
      <c r="Y1359" s="40"/>
      <c r="Z1359" s="107">
        <v>4</v>
      </c>
      <c r="AA1359" s="38" t="s">
        <v>196</v>
      </c>
      <c r="AB1359" s="38"/>
      <c r="AC1359" s="26" t="s">
        <v>1599</v>
      </c>
      <c r="AD1359" s="40">
        <f t="shared" si="165"/>
        <v>20</v>
      </c>
      <c r="AE1359" s="38" t="s">
        <v>196</v>
      </c>
      <c r="AF1359" s="40">
        <f t="shared" si="166"/>
        <v>80</v>
      </c>
      <c r="AG1359" s="47">
        <f t="shared" si="164"/>
        <v>0</v>
      </c>
    </row>
    <row r="1360" spans="6:33" ht="24" customHeight="1">
      <c r="F1360" s="40">
        <v>1.1000000000000001</v>
      </c>
      <c r="G1360" s="38" t="s">
        <v>196</v>
      </c>
      <c r="H1360" s="26" t="s">
        <v>276</v>
      </c>
      <c r="I1360" s="40">
        <f>(C13)</f>
        <v>576.79999999999995</v>
      </c>
      <c r="J1360" s="26" t="s">
        <v>196</v>
      </c>
      <c r="K1360" s="40">
        <f t="shared" si="169"/>
        <v>634.48</v>
      </c>
      <c r="M1360" s="28">
        <v>2</v>
      </c>
      <c r="N1360" s="29" t="s">
        <v>969</v>
      </c>
      <c r="O1360" s="28" t="s">
        <v>1450</v>
      </c>
      <c r="P1360" s="28">
        <f>C12</f>
        <v>702.8</v>
      </c>
      <c r="Q1360" s="33" t="s">
        <v>1600</v>
      </c>
      <c r="R1360" s="28">
        <f>P1360*M1360</f>
        <v>1405.6</v>
      </c>
      <c r="S1360" s="76">
        <v>6</v>
      </c>
      <c r="T1360" s="38" t="s">
        <v>196</v>
      </c>
      <c r="U1360" s="26" t="s">
        <v>1598</v>
      </c>
      <c r="V1360" s="40">
        <f t="shared" si="167"/>
        <v>30</v>
      </c>
      <c r="W1360" s="38" t="s">
        <v>196</v>
      </c>
      <c r="X1360" s="40">
        <f t="shared" si="168"/>
        <v>180</v>
      </c>
      <c r="Y1360" s="40"/>
      <c r="Z1360" s="107">
        <v>4</v>
      </c>
      <c r="AA1360" s="38" t="s">
        <v>196</v>
      </c>
      <c r="AB1360" s="38"/>
      <c r="AC1360" s="26" t="s">
        <v>1601</v>
      </c>
      <c r="AD1360" s="40">
        <f t="shared" si="165"/>
        <v>15</v>
      </c>
      <c r="AE1360" s="38" t="s">
        <v>196</v>
      </c>
      <c r="AF1360" s="40">
        <f t="shared" si="166"/>
        <v>60</v>
      </c>
      <c r="AG1360" s="47">
        <f t="shared" si="164"/>
        <v>0</v>
      </c>
    </row>
    <row r="1361" spans="6:33" ht="24" customHeight="1">
      <c r="G1361" s="38" t="s">
        <v>106</v>
      </c>
      <c r="H1361" s="26" t="s">
        <v>107</v>
      </c>
      <c r="J1361" s="26" t="s">
        <v>106</v>
      </c>
      <c r="K1361" s="40">
        <v>0</v>
      </c>
      <c r="N1361" s="29"/>
      <c r="Q1361" s="33"/>
      <c r="S1361" s="76">
        <v>6</v>
      </c>
      <c r="T1361" s="38" t="s">
        <v>196</v>
      </c>
      <c r="U1361" s="26" t="s">
        <v>1599</v>
      </c>
      <c r="V1361" s="40">
        <f t="shared" si="167"/>
        <v>20</v>
      </c>
      <c r="W1361" s="38" t="s">
        <v>196</v>
      </c>
      <c r="X1361" s="40">
        <f t="shared" si="168"/>
        <v>120</v>
      </c>
      <c r="Y1361" s="40"/>
      <c r="Z1361" s="107">
        <v>0.94499999999999995</v>
      </c>
      <c r="AA1361" s="38" t="s">
        <v>788</v>
      </c>
      <c r="AB1361" s="38"/>
      <c r="AC1361" s="26" t="s">
        <v>1602</v>
      </c>
      <c r="AD1361" s="40">
        <f t="shared" si="165"/>
        <v>2156</v>
      </c>
      <c r="AE1361" s="38" t="s">
        <v>788</v>
      </c>
      <c r="AF1361" s="40">
        <f t="shared" si="166"/>
        <v>2037.4199999999998</v>
      </c>
      <c r="AG1361" s="47">
        <f t="shared" si="164"/>
        <v>0</v>
      </c>
    </row>
    <row r="1362" spans="6:33" ht="24" customHeight="1">
      <c r="K1362" s="35" t="s">
        <v>48</v>
      </c>
      <c r="N1362" s="29"/>
      <c r="O1362" s="28" t="s">
        <v>1603</v>
      </c>
      <c r="P1362" s="28" t="s">
        <v>363</v>
      </c>
      <c r="Q1362" s="33"/>
      <c r="R1362" s="28">
        <v>11.5</v>
      </c>
      <c r="S1362" s="76">
        <v>4</v>
      </c>
      <c r="T1362" s="38" t="s">
        <v>196</v>
      </c>
      <c r="U1362" s="26" t="s">
        <v>1601</v>
      </c>
      <c r="V1362" s="40">
        <f t="shared" si="167"/>
        <v>15</v>
      </c>
      <c r="W1362" s="38" t="s">
        <v>196</v>
      </c>
      <c r="X1362" s="40">
        <f t="shared" si="168"/>
        <v>60</v>
      </c>
      <c r="Y1362" s="40"/>
      <c r="AA1362" s="29"/>
      <c r="AB1362" s="29"/>
      <c r="AC1362" s="26" t="s">
        <v>1604</v>
      </c>
      <c r="AE1362" s="33"/>
      <c r="AF1362" s="40">
        <v>0.81</v>
      </c>
      <c r="AG1362" s="47">
        <f t="shared" si="164"/>
        <v>0</v>
      </c>
    </row>
    <row r="1363" spans="6:33" ht="24" customHeight="1">
      <c r="H1363" s="26" t="s">
        <v>401</v>
      </c>
      <c r="K1363" s="40">
        <f>SUM(K1353:K1361)</f>
        <v>12705.268399999999</v>
      </c>
      <c r="N1363" s="29"/>
      <c r="O1363" s="218" t="s">
        <v>1605</v>
      </c>
      <c r="Q1363" s="33"/>
      <c r="R1363" s="28">
        <f>SUM(R1358:R1362)</f>
        <v>2176.1</v>
      </c>
      <c r="S1363" s="76">
        <v>1.4179999999999999</v>
      </c>
      <c r="T1363" s="38" t="s">
        <v>788</v>
      </c>
      <c r="U1363" s="26" t="s">
        <v>1602</v>
      </c>
      <c r="V1363" s="40">
        <f t="shared" si="167"/>
        <v>2156</v>
      </c>
      <c r="W1363" s="38" t="s">
        <v>788</v>
      </c>
      <c r="X1363" s="40">
        <f t="shared" si="168"/>
        <v>3057.2079999999996</v>
      </c>
      <c r="Y1363" s="40"/>
      <c r="AC1363" s="37" t="s">
        <v>1606</v>
      </c>
      <c r="AF1363" s="39">
        <f>SUM(AF1350:AF1362)</f>
        <v>6521.9508000000005</v>
      </c>
      <c r="AG1363" s="47">
        <f t="shared" si="164"/>
        <v>0</v>
      </c>
    </row>
    <row r="1364" spans="6:33" ht="24" customHeight="1">
      <c r="K1364" s="35" t="s">
        <v>48</v>
      </c>
      <c r="N1364" s="29"/>
      <c r="Q1364" s="33"/>
      <c r="T1364" s="29"/>
      <c r="U1364" s="26" t="s">
        <v>1604</v>
      </c>
      <c r="W1364" s="33"/>
      <c r="X1364" s="40"/>
      <c r="Y1364" s="40"/>
      <c r="AG1364" s="47">
        <f t="shared" si="164"/>
        <v>0</v>
      </c>
    </row>
    <row r="1365" spans="6:33" ht="24" customHeight="1">
      <c r="H1365" s="42" t="s">
        <v>403</v>
      </c>
      <c r="K1365" s="39">
        <f>(K1363/10)</f>
        <v>1270.52684</v>
      </c>
      <c r="N1365" s="29"/>
      <c r="O1365" s="218" t="s">
        <v>1607</v>
      </c>
      <c r="Q1365" s="33"/>
      <c r="R1365" s="41">
        <f>R1363/6</f>
        <v>362.68333333333334</v>
      </c>
      <c r="U1365" s="37" t="s">
        <v>1606</v>
      </c>
      <c r="X1365" s="39">
        <f>SUM(X1352:X1364)</f>
        <v>9698.2979999999989</v>
      </c>
      <c r="Y1365" s="39"/>
      <c r="AG1365" s="47">
        <f t="shared" si="164"/>
        <v>0</v>
      </c>
    </row>
    <row r="1366" spans="6:33" ht="24" customHeight="1">
      <c r="K1366" s="35" t="s">
        <v>41</v>
      </c>
      <c r="N1366" s="29"/>
      <c r="Q1366" s="33"/>
      <c r="AA1366" s="29"/>
      <c r="AB1366" s="29"/>
      <c r="AC1366" s="184" t="s">
        <v>1608</v>
      </c>
      <c r="AE1366" s="31"/>
      <c r="AG1366" s="47">
        <f t="shared" si="164"/>
        <v>0</v>
      </c>
    </row>
    <row r="1367" spans="6:33" ht="24" customHeight="1">
      <c r="K1367" s="35"/>
      <c r="N1367" s="29"/>
      <c r="Q1367" s="31"/>
      <c r="Z1367" s="107">
        <v>3.72</v>
      </c>
      <c r="AA1367" s="38" t="s">
        <v>488</v>
      </c>
      <c r="AB1367" s="38"/>
      <c r="AC1367" s="26" t="s">
        <v>1582</v>
      </c>
      <c r="AD1367" s="40">
        <f>AD1350</f>
        <v>287</v>
      </c>
      <c r="AE1367" s="38" t="s">
        <v>488</v>
      </c>
      <c r="AF1367" s="40">
        <f t="shared" ref="AF1367:AF1378" si="170">AD1367*Z1367</f>
        <v>1067.6400000000001</v>
      </c>
      <c r="AG1367" s="47">
        <f t="shared" si="164"/>
        <v>0</v>
      </c>
    </row>
    <row r="1368" spans="6:33" ht="24" customHeight="1">
      <c r="K1368" s="35"/>
      <c r="M1368" s="77">
        <v>29.5</v>
      </c>
      <c r="N1368" s="38" t="s">
        <v>67</v>
      </c>
      <c r="O1368" s="26" t="s">
        <v>1609</v>
      </c>
      <c r="Q1368" s="33"/>
      <c r="T1368" s="29"/>
      <c r="U1368" s="184" t="s">
        <v>1610</v>
      </c>
      <c r="W1368" s="31"/>
      <c r="Z1368" s="107">
        <v>2.69</v>
      </c>
      <c r="AA1368" s="38" t="s">
        <v>488</v>
      </c>
      <c r="AB1368" s="38"/>
      <c r="AC1368" s="26" t="s">
        <v>1582</v>
      </c>
      <c r="AD1368" s="40">
        <f t="shared" ref="AD1368:AD1378" si="171">AD1351</f>
        <v>287</v>
      </c>
      <c r="AE1368" s="38" t="s">
        <v>488</v>
      </c>
      <c r="AF1368" s="40">
        <f t="shared" si="170"/>
        <v>772.03</v>
      </c>
      <c r="AG1368" s="47">
        <f t="shared" si="164"/>
        <v>0</v>
      </c>
    </row>
    <row r="1369" spans="6:33" ht="24" customHeight="1">
      <c r="F1369" s="77">
        <v>32.200000000000003</v>
      </c>
      <c r="G1369" s="38" t="s">
        <v>67</v>
      </c>
      <c r="H1369" s="26" t="s">
        <v>1578</v>
      </c>
      <c r="K1369" s="35"/>
      <c r="N1369" s="29"/>
      <c r="O1369" s="26" t="s">
        <v>1513</v>
      </c>
      <c r="Q1369" s="33"/>
      <c r="S1369" s="76">
        <v>3.49</v>
      </c>
      <c r="T1369" s="38" t="s">
        <v>488</v>
      </c>
      <c r="U1369" s="26" t="s">
        <v>1582</v>
      </c>
      <c r="V1369" s="40">
        <f>P1408</f>
        <v>287</v>
      </c>
      <c r="W1369" s="38" t="s">
        <v>488</v>
      </c>
      <c r="X1369" s="40">
        <f>V1369*S1369</f>
        <v>1001.6300000000001</v>
      </c>
      <c r="Y1369" s="40"/>
      <c r="Z1369" s="107">
        <v>6.15</v>
      </c>
      <c r="AA1369" s="38" t="s">
        <v>488</v>
      </c>
      <c r="AB1369" s="38"/>
      <c r="AC1369" s="26" t="s">
        <v>1582</v>
      </c>
      <c r="AD1369" s="40">
        <f t="shared" si="171"/>
        <v>287</v>
      </c>
      <c r="AE1369" s="38" t="s">
        <v>488</v>
      </c>
      <c r="AF1369" s="40">
        <f t="shared" si="170"/>
        <v>1765.0500000000002</v>
      </c>
      <c r="AG1369" s="47">
        <f t="shared" si="164"/>
        <v>0</v>
      </c>
    </row>
    <row r="1370" spans="6:33" ht="24" customHeight="1">
      <c r="H1370" s="26" t="s">
        <v>1579</v>
      </c>
      <c r="K1370" s="35"/>
      <c r="N1370" s="29"/>
      <c r="O1370" s="26" t="s">
        <v>1514</v>
      </c>
      <c r="Q1370" s="33"/>
      <c r="S1370" s="76">
        <v>2.5299999999999998</v>
      </c>
      <c r="T1370" s="38" t="s">
        <v>488</v>
      </c>
      <c r="U1370" s="26" t="s">
        <v>1582</v>
      </c>
      <c r="V1370" s="40">
        <f t="shared" ref="V1370:V1380" si="172">P1409</f>
        <v>287</v>
      </c>
      <c r="W1370" s="38" t="s">
        <v>488</v>
      </c>
      <c r="X1370" s="40">
        <f t="shared" ref="X1370:X1380" si="173">V1370*S1370</f>
        <v>726.1099999999999</v>
      </c>
      <c r="Y1370" s="40"/>
      <c r="Z1370" s="107">
        <v>1.07</v>
      </c>
      <c r="AA1370" s="38" t="s">
        <v>488</v>
      </c>
      <c r="AB1370" s="38"/>
      <c r="AC1370" s="26" t="s">
        <v>1582</v>
      </c>
      <c r="AD1370" s="40">
        <f t="shared" si="171"/>
        <v>287</v>
      </c>
      <c r="AE1370" s="38" t="s">
        <v>488</v>
      </c>
      <c r="AF1370" s="40">
        <f t="shared" si="170"/>
        <v>307.09000000000003</v>
      </c>
      <c r="AG1370" s="47">
        <f t="shared" si="164"/>
        <v>0</v>
      </c>
    </row>
    <row r="1371" spans="6:33" ht="24" customHeight="1">
      <c r="H1371" s="26" t="s">
        <v>1580</v>
      </c>
      <c r="K1371" s="35"/>
      <c r="N1371" s="29"/>
      <c r="O1371" s="35" t="s">
        <v>48</v>
      </c>
      <c r="P1371" s="35" t="s">
        <v>48</v>
      </c>
      <c r="Q1371" s="33"/>
      <c r="R1371" s="40"/>
      <c r="S1371" s="76">
        <v>5.75</v>
      </c>
      <c r="T1371" s="38" t="s">
        <v>488</v>
      </c>
      <c r="U1371" s="26" t="s">
        <v>1582</v>
      </c>
      <c r="V1371" s="40">
        <f t="shared" si="172"/>
        <v>287</v>
      </c>
      <c r="W1371" s="38" t="s">
        <v>488</v>
      </c>
      <c r="X1371" s="40">
        <f t="shared" si="173"/>
        <v>1650.25</v>
      </c>
      <c r="Y1371" s="40"/>
      <c r="Z1371" s="107">
        <v>1.153</v>
      </c>
      <c r="AA1371" s="38" t="s">
        <v>480</v>
      </c>
      <c r="AB1371" s="38"/>
      <c r="AC1371" s="26" t="s">
        <v>1588</v>
      </c>
      <c r="AD1371" s="40">
        <f t="shared" si="171"/>
        <v>208.8</v>
      </c>
      <c r="AE1371" s="38" t="s">
        <v>480</v>
      </c>
      <c r="AF1371" s="40">
        <f t="shared" si="170"/>
        <v>240.74640000000002</v>
      </c>
      <c r="AG1371" s="47">
        <f t="shared" si="164"/>
        <v>0</v>
      </c>
    </row>
    <row r="1372" spans="6:33" ht="24" customHeight="1">
      <c r="H1372" s="26" t="s">
        <v>1581</v>
      </c>
      <c r="K1372" s="35"/>
      <c r="M1372" s="40">
        <v>10</v>
      </c>
      <c r="N1372" s="38" t="s">
        <v>438</v>
      </c>
      <c r="O1372" s="26" t="s">
        <v>1611</v>
      </c>
      <c r="P1372" s="138">
        <f>P1332</f>
        <v>1595</v>
      </c>
      <c r="Q1372" s="27" t="s">
        <v>438</v>
      </c>
      <c r="R1372" s="40">
        <f>M1372*P1372</f>
        <v>15950</v>
      </c>
      <c r="S1372" s="76">
        <v>1</v>
      </c>
      <c r="T1372" s="38" t="s">
        <v>488</v>
      </c>
      <c r="U1372" s="26" t="s">
        <v>1582</v>
      </c>
      <c r="V1372" s="40">
        <f t="shared" si="172"/>
        <v>287</v>
      </c>
      <c r="W1372" s="38" t="s">
        <v>488</v>
      </c>
      <c r="X1372" s="40">
        <f t="shared" si="173"/>
        <v>287</v>
      </c>
      <c r="Y1372" s="40"/>
      <c r="Z1372" s="107">
        <v>8.6720000000000006</v>
      </c>
      <c r="AA1372" s="38" t="s">
        <v>1125</v>
      </c>
      <c r="AB1372" s="38"/>
      <c r="AC1372" s="26" t="s">
        <v>1591</v>
      </c>
      <c r="AD1372" s="40">
        <f t="shared" si="171"/>
        <v>28.6</v>
      </c>
      <c r="AE1372" s="38" t="s">
        <v>1125</v>
      </c>
      <c r="AF1372" s="40">
        <f t="shared" si="170"/>
        <v>248.01920000000004</v>
      </c>
      <c r="AG1372" s="47">
        <f t="shared" si="164"/>
        <v>0</v>
      </c>
    </row>
    <row r="1373" spans="6:33" ht="24" customHeight="1">
      <c r="H1373" s="26" t="s">
        <v>1583</v>
      </c>
      <c r="K1373" s="35"/>
      <c r="M1373" s="40">
        <v>0.21</v>
      </c>
      <c r="N1373" s="38" t="s">
        <v>93</v>
      </c>
      <c r="O1373" s="26" t="s">
        <v>1488</v>
      </c>
      <c r="P1373" s="40">
        <f>P1333</f>
        <v>5671.64</v>
      </c>
      <c r="Q1373" s="27" t="s">
        <v>93</v>
      </c>
      <c r="R1373" s="40">
        <f>(M1373*P1373)</f>
        <v>1191.0444</v>
      </c>
      <c r="S1373" s="76">
        <v>0.96699999999999997</v>
      </c>
      <c r="T1373" s="38" t="s">
        <v>480</v>
      </c>
      <c r="U1373" s="26" t="s">
        <v>1588</v>
      </c>
      <c r="V1373" s="40">
        <f t="shared" si="172"/>
        <v>208.8</v>
      </c>
      <c r="W1373" s="38" t="s">
        <v>480</v>
      </c>
      <c r="X1373" s="40">
        <f t="shared" si="173"/>
        <v>201.90960000000001</v>
      </c>
      <c r="Y1373" s="40"/>
      <c r="Z1373" s="107">
        <v>8</v>
      </c>
      <c r="AA1373" s="38" t="s">
        <v>196</v>
      </c>
      <c r="AB1373" s="38"/>
      <c r="AC1373" s="26" t="s">
        <v>1593</v>
      </c>
      <c r="AD1373" s="40">
        <f t="shared" si="171"/>
        <v>63.5</v>
      </c>
      <c r="AE1373" s="38" t="s">
        <v>196</v>
      </c>
      <c r="AF1373" s="40">
        <f t="shared" si="170"/>
        <v>508</v>
      </c>
      <c r="AG1373" s="47">
        <f t="shared" si="164"/>
        <v>0</v>
      </c>
    </row>
    <row r="1374" spans="6:33" ht="24" customHeight="1">
      <c r="H1374" s="35" t="s">
        <v>48</v>
      </c>
      <c r="K1374" s="35"/>
      <c r="N1374" s="29"/>
      <c r="O1374" s="26" t="s">
        <v>1492</v>
      </c>
      <c r="P1374" s="26" t="s">
        <v>27</v>
      </c>
      <c r="Q1374" s="33"/>
      <c r="R1374" s="26" t="s">
        <v>27</v>
      </c>
      <c r="S1374" s="76">
        <v>8.0719999999999992</v>
      </c>
      <c r="T1374" s="38" t="s">
        <v>1125</v>
      </c>
      <c r="U1374" s="26" t="s">
        <v>1591</v>
      </c>
      <c r="V1374" s="40">
        <f t="shared" si="172"/>
        <v>28.6</v>
      </c>
      <c r="W1374" s="38" t="s">
        <v>1125</v>
      </c>
      <c r="X1374" s="40">
        <f t="shared" si="173"/>
        <v>230.85919999999999</v>
      </c>
      <c r="Y1374" s="40"/>
      <c r="Z1374" s="107">
        <v>4</v>
      </c>
      <c r="AA1374" s="38" t="s">
        <v>196</v>
      </c>
      <c r="AB1374" s="38"/>
      <c r="AC1374" s="26" t="s">
        <v>1595</v>
      </c>
      <c r="AD1374" s="40">
        <f t="shared" si="171"/>
        <v>50.9</v>
      </c>
      <c r="AE1374" s="38" t="s">
        <v>196</v>
      </c>
      <c r="AF1374" s="40">
        <f t="shared" si="170"/>
        <v>203.6</v>
      </c>
      <c r="AG1374" s="47">
        <f t="shared" si="164"/>
        <v>0</v>
      </c>
    </row>
    <row r="1375" spans="6:33" ht="24" customHeight="1">
      <c r="F1375" s="40">
        <v>190</v>
      </c>
      <c r="G1375" s="38" t="s">
        <v>1420</v>
      </c>
      <c r="H1375" s="26" t="s">
        <v>1612</v>
      </c>
      <c r="I1375" s="219">
        <f>E83</f>
        <v>8710</v>
      </c>
      <c r="J1375" s="26" t="s">
        <v>325</v>
      </c>
      <c r="K1375" s="40">
        <f>(F1375*I1375)/1000</f>
        <v>1654.9</v>
      </c>
      <c r="M1375" s="40">
        <v>1.1000000000000001</v>
      </c>
      <c r="N1375" s="38" t="s">
        <v>196</v>
      </c>
      <c r="O1375" s="26" t="s">
        <v>298</v>
      </c>
      <c r="P1375" s="40">
        <f>AG9</f>
        <v>1076.5999999999999</v>
      </c>
      <c r="Q1375" s="27" t="s">
        <v>196</v>
      </c>
      <c r="R1375" s="40">
        <f>(M1375*P1375)</f>
        <v>1184.26</v>
      </c>
      <c r="S1375" s="76">
        <v>8</v>
      </c>
      <c r="T1375" s="38" t="s">
        <v>196</v>
      </c>
      <c r="U1375" s="26" t="s">
        <v>1593</v>
      </c>
      <c r="V1375" s="40">
        <f t="shared" si="172"/>
        <v>63.5</v>
      </c>
      <c r="W1375" s="38" t="s">
        <v>196</v>
      </c>
      <c r="X1375" s="40">
        <f t="shared" si="173"/>
        <v>508</v>
      </c>
      <c r="Y1375" s="40"/>
      <c r="Z1375" s="107">
        <v>4</v>
      </c>
      <c r="AA1375" s="38" t="s">
        <v>196</v>
      </c>
      <c r="AB1375" s="38"/>
      <c r="AC1375" s="26" t="s">
        <v>1598</v>
      </c>
      <c r="AD1375" s="40">
        <f t="shared" si="171"/>
        <v>30</v>
      </c>
      <c r="AE1375" s="38" t="s">
        <v>196</v>
      </c>
      <c r="AF1375" s="40">
        <f t="shared" si="170"/>
        <v>120</v>
      </c>
      <c r="AG1375" s="47">
        <f t="shared" si="164"/>
        <v>0</v>
      </c>
    </row>
    <row r="1376" spans="6:33" ht="24" customHeight="1">
      <c r="F1376" s="40">
        <v>0.12</v>
      </c>
      <c r="G1376" s="38" t="s">
        <v>93</v>
      </c>
      <c r="H1376" s="26" t="s">
        <v>1488</v>
      </c>
      <c r="I1376" s="28">
        <f>K32</f>
        <v>5671.64</v>
      </c>
      <c r="J1376" s="26" t="s">
        <v>93</v>
      </c>
      <c r="K1376" s="40">
        <f t="shared" ref="K1376:K1382" si="174">(F1376*I1376)</f>
        <v>680.59680000000003</v>
      </c>
      <c r="M1376" s="40">
        <v>1.1000000000000001</v>
      </c>
      <c r="N1376" s="38" t="s">
        <v>196</v>
      </c>
      <c r="O1376" s="26" t="s">
        <v>269</v>
      </c>
      <c r="P1376" s="40">
        <f>AG10</f>
        <v>1005.1999999999999</v>
      </c>
      <c r="Q1376" s="27" t="s">
        <v>196</v>
      </c>
      <c r="R1376" s="40">
        <f>(M1376*P1376)</f>
        <v>1105.72</v>
      </c>
      <c r="S1376" s="76">
        <v>4</v>
      </c>
      <c r="T1376" s="38" t="s">
        <v>196</v>
      </c>
      <c r="U1376" s="26" t="s">
        <v>1595</v>
      </c>
      <c r="V1376" s="40">
        <f t="shared" si="172"/>
        <v>50.9</v>
      </c>
      <c r="W1376" s="38" t="s">
        <v>196</v>
      </c>
      <c r="X1376" s="40">
        <f t="shared" si="173"/>
        <v>203.6</v>
      </c>
      <c r="Y1376" s="40"/>
      <c r="Z1376" s="107">
        <v>4</v>
      </c>
      <c r="AA1376" s="38" t="s">
        <v>196</v>
      </c>
      <c r="AB1376" s="38"/>
      <c r="AC1376" s="26" t="s">
        <v>1599</v>
      </c>
      <c r="AD1376" s="40">
        <f t="shared" si="171"/>
        <v>20</v>
      </c>
      <c r="AE1376" s="38" t="s">
        <v>196</v>
      </c>
      <c r="AF1376" s="40">
        <f t="shared" si="170"/>
        <v>80</v>
      </c>
      <c r="AG1376" s="47">
        <f t="shared" si="164"/>
        <v>0</v>
      </c>
    </row>
    <row r="1377" spans="6:33" ht="24" customHeight="1">
      <c r="F1377" s="40">
        <v>10</v>
      </c>
      <c r="G1377" s="38" t="s">
        <v>438</v>
      </c>
      <c r="H1377" s="26" t="s">
        <v>1589</v>
      </c>
      <c r="I1377" s="28">
        <f>K1344</f>
        <v>342.41856000000001</v>
      </c>
      <c r="J1377" s="26" t="s">
        <v>438</v>
      </c>
      <c r="K1377" s="40">
        <f t="shared" si="174"/>
        <v>3424.1856000000002</v>
      </c>
      <c r="M1377" s="40">
        <v>2.2000000000000002</v>
      </c>
      <c r="N1377" s="38" t="s">
        <v>196</v>
      </c>
      <c r="O1377" s="26" t="s">
        <v>271</v>
      </c>
      <c r="P1377" s="40">
        <f>AG11</f>
        <v>702.8</v>
      </c>
      <c r="Q1377" s="27" t="s">
        <v>196</v>
      </c>
      <c r="R1377" s="40">
        <f>(M1377*P1377)</f>
        <v>1546.16</v>
      </c>
      <c r="S1377" s="76">
        <v>4</v>
      </c>
      <c r="T1377" s="38" t="s">
        <v>196</v>
      </c>
      <c r="U1377" s="26" t="s">
        <v>1598</v>
      </c>
      <c r="V1377" s="40">
        <f t="shared" si="172"/>
        <v>30</v>
      </c>
      <c r="W1377" s="38" t="s">
        <v>196</v>
      </c>
      <c r="X1377" s="40">
        <f t="shared" si="173"/>
        <v>120</v>
      </c>
      <c r="Y1377" s="40"/>
      <c r="Z1377" s="107">
        <v>4</v>
      </c>
      <c r="AA1377" s="38" t="s">
        <v>196</v>
      </c>
      <c r="AB1377" s="38"/>
      <c r="AC1377" s="26" t="s">
        <v>1601</v>
      </c>
      <c r="AD1377" s="40">
        <f t="shared" si="171"/>
        <v>15</v>
      </c>
      <c r="AE1377" s="38" t="s">
        <v>196</v>
      </c>
      <c r="AF1377" s="40">
        <f t="shared" si="170"/>
        <v>60</v>
      </c>
      <c r="AG1377" s="47">
        <f t="shared" si="164"/>
        <v>0</v>
      </c>
    </row>
    <row r="1378" spans="6:33" ht="24" customHeight="1">
      <c r="F1378" s="40">
        <v>5.8</v>
      </c>
      <c r="G1378" s="38" t="s">
        <v>392</v>
      </c>
      <c r="H1378" s="26" t="s">
        <v>1592</v>
      </c>
      <c r="I1378" s="28">
        <f>C653</f>
        <v>41.9</v>
      </c>
      <c r="J1378" s="26" t="s">
        <v>392</v>
      </c>
      <c r="K1378" s="40">
        <f t="shared" si="174"/>
        <v>243.01999999999998</v>
      </c>
      <c r="M1378" s="40">
        <v>2.2000000000000002</v>
      </c>
      <c r="N1378" s="38" t="s">
        <v>196</v>
      </c>
      <c r="O1378" s="26" t="s">
        <v>276</v>
      </c>
      <c r="P1378" s="40">
        <f>AG12</f>
        <v>576.79999999999995</v>
      </c>
      <c r="Q1378" s="27" t="s">
        <v>196</v>
      </c>
      <c r="R1378" s="40">
        <f>(M1378*P1378)</f>
        <v>1268.96</v>
      </c>
      <c r="S1378" s="76">
        <v>4</v>
      </c>
      <c r="T1378" s="38" t="s">
        <v>196</v>
      </c>
      <c r="U1378" s="26" t="s">
        <v>1599</v>
      </c>
      <c r="V1378" s="40">
        <f t="shared" si="172"/>
        <v>20</v>
      </c>
      <c r="W1378" s="38" t="s">
        <v>196</v>
      </c>
      <c r="X1378" s="40">
        <f t="shared" si="173"/>
        <v>80</v>
      </c>
      <c r="Y1378" s="40"/>
      <c r="Z1378" s="107">
        <v>1.42</v>
      </c>
      <c r="AA1378" s="38" t="s">
        <v>788</v>
      </c>
      <c r="AB1378" s="38"/>
      <c r="AC1378" s="26" t="s">
        <v>1602</v>
      </c>
      <c r="AD1378" s="40">
        <f t="shared" si="171"/>
        <v>2156</v>
      </c>
      <c r="AE1378" s="38" t="s">
        <v>788</v>
      </c>
      <c r="AF1378" s="40">
        <f t="shared" si="170"/>
        <v>3061.52</v>
      </c>
      <c r="AG1378" s="47">
        <f t="shared" si="164"/>
        <v>0</v>
      </c>
    </row>
    <row r="1379" spans="6:33" ht="24" customHeight="1">
      <c r="F1379" s="40">
        <v>1.1000000000000001</v>
      </c>
      <c r="G1379" s="38" t="s">
        <v>196</v>
      </c>
      <c r="H1379" s="26" t="s">
        <v>298</v>
      </c>
      <c r="I1379" s="28">
        <f>C10</f>
        <v>1076.5999999999999</v>
      </c>
      <c r="J1379" s="26" t="s">
        <v>196</v>
      </c>
      <c r="K1379" s="40">
        <f t="shared" si="174"/>
        <v>1184.26</v>
      </c>
      <c r="M1379" s="76">
        <v>20</v>
      </c>
      <c r="N1379" s="38" t="s">
        <v>392</v>
      </c>
      <c r="O1379" s="26" t="s">
        <v>85</v>
      </c>
      <c r="P1379" s="40">
        <f>AE31</f>
        <v>5800</v>
      </c>
      <c r="Q1379" s="27" t="s">
        <v>84</v>
      </c>
      <c r="R1379" s="40">
        <f>(M1379*P1379)/1000</f>
        <v>116</v>
      </c>
      <c r="S1379" s="76">
        <v>4</v>
      </c>
      <c r="T1379" s="38" t="s">
        <v>196</v>
      </c>
      <c r="U1379" s="26" t="s">
        <v>1601</v>
      </c>
      <c r="V1379" s="40">
        <f t="shared" si="172"/>
        <v>15</v>
      </c>
      <c r="W1379" s="38" t="s">
        <v>196</v>
      </c>
      <c r="X1379" s="40">
        <f t="shared" si="173"/>
        <v>60</v>
      </c>
      <c r="Y1379" s="40"/>
      <c r="AA1379" s="29"/>
      <c r="AB1379" s="29"/>
      <c r="AC1379" s="26" t="s">
        <v>1604</v>
      </c>
      <c r="AE1379" s="33"/>
      <c r="AF1379" s="40">
        <v>0.85</v>
      </c>
      <c r="AG1379" s="47">
        <f t="shared" si="164"/>
        <v>0</v>
      </c>
    </row>
    <row r="1380" spans="6:33" ht="24" customHeight="1">
      <c r="F1380" s="40">
        <v>2.1</v>
      </c>
      <c r="G1380" s="38" t="s">
        <v>196</v>
      </c>
      <c r="H1380" s="26" t="s">
        <v>269</v>
      </c>
      <c r="I1380" s="28">
        <f>C11</f>
        <v>1005.1999999999999</v>
      </c>
      <c r="J1380" s="26" t="s">
        <v>196</v>
      </c>
      <c r="K1380" s="40">
        <f t="shared" si="174"/>
        <v>2110.92</v>
      </c>
      <c r="M1380" s="76">
        <v>2</v>
      </c>
      <c r="N1380" s="38" t="s">
        <v>392</v>
      </c>
      <c r="O1380" s="26" t="s">
        <v>1496</v>
      </c>
      <c r="P1380" s="128">
        <f>P1264</f>
        <v>36.1</v>
      </c>
      <c r="Q1380" s="27" t="s">
        <v>392</v>
      </c>
      <c r="R1380" s="40">
        <f>(M1380*P1380)</f>
        <v>72.2</v>
      </c>
      <c r="S1380" s="76">
        <v>1.2150000000000001</v>
      </c>
      <c r="T1380" s="38" t="s">
        <v>788</v>
      </c>
      <c r="U1380" s="26" t="s">
        <v>1602</v>
      </c>
      <c r="V1380" s="40">
        <f t="shared" si="172"/>
        <v>2156</v>
      </c>
      <c r="W1380" s="38" t="s">
        <v>788</v>
      </c>
      <c r="X1380" s="40">
        <f t="shared" si="173"/>
        <v>2619.54</v>
      </c>
      <c r="Y1380" s="40"/>
      <c r="AC1380" s="37" t="s">
        <v>1606</v>
      </c>
      <c r="AF1380" s="39">
        <f>SUM(AF1367:AF1379)</f>
        <v>8434.5456000000013</v>
      </c>
      <c r="AG1380" s="47">
        <f t="shared" si="164"/>
        <v>0</v>
      </c>
    </row>
    <row r="1381" spans="6:33" ht="24" customHeight="1">
      <c r="F1381" s="40">
        <v>2.2000000000000002</v>
      </c>
      <c r="G1381" s="38" t="s">
        <v>196</v>
      </c>
      <c r="H1381" s="26" t="s">
        <v>271</v>
      </c>
      <c r="I1381" s="28">
        <f>C12</f>
        <v>702.8</v>
      </c>
      <c r="J1381" s="26" t="s">
        <v>196</v>
      </c>
      <c r="K1381" s="40">
        <f t="shared" si="174"/>
        <v>1546.16</v>
      </c>
      <c r="M1381" s="40">
        <v>1.6</v>
      </c>
      <c r="N1381" s="38" t="s">
        <v>196</v>
      </c>
      <c r="O1381" s="26" t="s">
        <v>269</v>
      </c>
      <c r="P1381" s="40">
        <f>P1265</f>
        <v>1005.1999999999999</v>
      </c>
      <c r="Q1381" s="27" t="s">
        <v>196</v>
      </c>
      <c r="R1381" s="40">
        <f>(M1381*P1381)</f>
        <v>1608.32</v>
      </c>
      <c r="T1381" s="29"/>
      <c r="U1381" s="26" t="s">
        <v>1604</v>
      </c>
      <c r="W1381" s="33"/>
      <c r="X1381" s="40">
        <v>0.23</v>
      </c>
      <c r="Y1381" s="40"/>
      <c r="AG1381" s="47">
        <f t="shared" si="164"/>
        <v>0</v>
      </c>
    </row>
    <row r="1382" spans="6:33" ht="24" customHeight="1">
      <c r="F1382" s="40">
        <v>1.1000000000000001</v>
      </c>
      <c r="G1382" s="38" t="s">
        <v>196</v>
      </c>
      <c r="H1382" s="26" t="s">
        <v>276</v>
      </c>
      <c r="I1382" s="28">
        <f>C13</f>
        <v>576.79999999999995</v>
      </c>
      <c r="J1382" s="26" t="s">
        <v>196</v>
      </c>
      <c r="K1382" s="40">
        <f t="shared" si="174"/>
        <v>634.48</v>
      </c>
      <c r="M1382" s="40">
        <v>0.5</v>
      </c>
      <c r="N1382" s="38" t="s">
        <v>196</v>
      </c>
      <c r="O1382" s="26" t="s">
        <v>271</v>
      </c>
      <c r="P1382" s="40">
        <f>P1266</f>
        <v>702.8</v>
      </c>
      <c r="Q1382" s="27" t="s">
        <v>196</v>
      </c>
      <c r="R1382" s="40">
        <f>(M1382*P1382)</f>
        <v>351.4</v>
      </c>
      <c r="U1382" s="37" t="s">
        <v>1606</v>
      </c>
      <c r="X1382" s="39">
        <f>SUM(X1369:X1381)</f>
        <v>7689.1287999999995</v>
      </c>
      <c r="Y1382" s="39"/>
      <c r="AG1382" s="47">
        <f t="shared" si="164"/>
        <v>0</v>
      </c>
    </row>
    <row r="1383" spans="6:33" ht="24" customHeight="1">
      <c r="G1383" s="38" t="s">
        <v>106</v>
      </c>
      <c r="H1383" s="26" t="s">
        <v>107</v>
      </c>
      <c r="J1383" s="26" t="s">
        <v>106</v>
      </c>
      <c r="K1383" s="40">
        <v>0</v>
      </c>
      <c r="M1383" s="40">
        <v>1.1000000000000001</v>
      </c>
      <c r="N1383" s="38" t="s">
        <v>196</v>
      </c>
      <c r="O1383" s="26" t="s">
        <v>276</v>
      </c>
      <c r="P1383" s="40">
        <f>P1267</f>
        <v>576.79999999999995</v>
      </c>
      <c r="Q1383" s="27" t="s">
        <v>196</v>
      </c>
      <c r="R1383" s="40">
        <f>(M1383*P1383)</f>
        <v>634.48</v>
      </c>
      <c r="AA1383" s="29"/>
      <c r="AB1383" s="29"/>
      <c r="AC1383" s="184" t="s">
        <v>1613</v>
      </c>
      <c r="AE1383" s="31"/>
      <c r="AG1383" s="47">
        <f t="shared" si="164"/>
        <v>0</v>
      </c>
    </row>
    <row r="1384" spans="6:33" ht="24" customHeight="1">
      <c r="K1384" s="35" t="s">
        <v>48</v>
      </c>
      <c r="N1384" s="38" t="s">
        <v>106</v>
      </c>
      <c r="O1384" s="26" t="s">
        <v>107</v>
      </c>
      <c r="P1384" s="40"/>
      <c r="Q1384" s="27" t="s">
        <v>106</v>
      </c>
      <c r="R1384" s="40">
        <v>0.28000000000000003</v>
      </c>
      <c r="Z1384" s="107">
        <v>2.87</v>
      </c>
      <c r="AA1384" s="38" t="s">
        <v>488</v>
      </c>
      <c r="AB1384" s="38"/>
      <c r="AC1384" s="26" t="s">
        <v>1582</v>
      </c>
      <c r="AD1384" s="40">
        <f>AD1367</f>
        <v>287</v>
      </c>
      <c r="AE1384" s="38" t="s">
        <v>488</v>
      </c>
      <c r="AF1384" s="40">
        <f t="shared" ref="AF1384:AF1395" si="175">AD1384*Z1384</f>
        <v>823.69</v>
      </c>
      <c r="AG1384" s="47">
        <f t="shared" si="164"/>
        <v>0</v>
      </c>
    </row>
    <row r="1385" spans="6:33" ht="24" customHeight="1">
      <c r="H1385" s="26" t="s">
        <v>401</v>
      </c>
      <c r="K1385" s="40">
        <f>SUM(K1375:K1383)</f>
        <v>11478.5224</v>
      </c>
      <c r="N1385" s="29"/>
      <c r="Q1385" s="33"/>
      <c r="R1385" s="35" t="s">
        <v>48</v>
      </c>
      <c r="T1385" s="29"/>
      <c r="U1385" s="184" t="s">
        <v>1614</v>
      </c>
      <c r="W1385" s="31"/>
      <c r="Z1385" s="107">
        <v>0.56000000000000005</v>
      </c>
      <c r="AA1385" s="38" t="s">
        <v>488</v>
      </c>
      <c r="AB1385" s="38"/>
      <c r="AC1385" s="26" t="s">
        <v>1582</v>
      </c>
      <c r="AD1385" s="40">
        <f t="shared" ref="AD1385:AD1395" si="176">AD1368</f>
        <v>287</v>
      </c>
      <c r="AE1385" s="38" t="s">
        <v>488</v>
      </c>
      <c r="AF1385" s="40">
        <f t="shared" si="175"/>
        <v>160.72000000000003</v>
      </c>
      <c r="AG1385" s="47">
        <f t="shared" si="164"/>
        <v>0</v>
      </c>
    </row>
    <row r="1386" spans="6:33" ht="24" customHeight="1">
      <c r="K1386" s="35" t="s">
        <v>48</v>
      </c>
      <c r="N1386" s="29"/>
      <c r="O1386" s="26" t="s">
        <v>401</v>
      </c>
      <c r="Q1386" s="33"/>
      <c r="R1386" s="40">
        <f>SUM(R1372:R1384)</f>
        <v>25028.824399999998</v>
      </c>
      <c r="S1386" s="76">
        <v>4.88</v>
      </c>
      <c r="T1386" s="38" t="s">
        <v>488</v>
      </c>
      <c r="U1386" s="26" t="s">
        <v>1582</v>
      </c>
      <c r="V1386" s="40">
        <f>V1369</f>
        <v>287</v>
      </c>
      <c r="W1386" s="38" t="s">
        <v>488</v>
      </c>
      <c r="X1386" s="40">
        <f>V1386*S1386</f>
        <v>1400.56</v>
      </c>
      <c r="Y1386" s="40"/>
      <c r="Z1386" s="107">
        <v>2.98</v>
      </c>
      <c r="AA1386" s="38" t="s">
        <v>488</v>
      </c>
      <c r="AB1386" s="38"/>
      <c r="AC1386" s="26" t="s">
        <v>1582</v>
      </c>
      <c r="AD1386" s="40">
        <f t="shared" si="176"/>
        <v>287</v>
      </c>
      <c r="AE1386" s="38" t="s">
        <v>488</v>
      </c>
      <c r="AF1386" s="40">
        <f t="shared" si="175"/>
        <v>855.26</v>
      </c>
      <c r="AG1386" s="47">
        <f t="shared" si="164"/>
        <v>0</v>
      </c>
    </row>
    <row r="1387" spans="6:33" ht="24" customHeight="1">
      <c r="H1387" s="42" t="s">
        <v>403</v>
      </c>
      <c r="K1387" s="39">
        <f>(K1385/10)</f>
        <v>1147.8522399999999</v>
      </c>
      <c r="N1387" s="29"/>
      <c r="Q1387" s="33"/>
      <c r="R1387" s="35" t="s">
        <v>48</v>
      </c>
      <c r="S1387" s="76">
        <v>6.57</v>
      </c>
      <c r="T1387" s="38" t="s">
        <v>488</v>
      </c>
      <c r="U1387" s="26" t="s">
        <v>1582</v>
      </c>
      <c r="V1387" s="40">
        <f t="shared" ref="V1387:V1397" si="177">V1370</f>
        <v>287</v>
      </c>
      <c r="W1387" s="38" t="s">
        <v>488</v>
      </c>
      <c r="X1387" s="40">
        <f t="shared" ref="X1387:X1397" si="178">V1387*S1387</f>
        <v>1885.5900000000001</v>
      </c>
      <c r="Y1387" s="40"/>
      <c r="Z1387" s="107">
        <v>0.52</v>
      </c>
      <c r="AA1387" s="38" t="s">
        <v>488</v>
      </c>
      <c r="AB1387" s="38"/>
      <c r="AC1387" s="26" t="s">
        <v>1582</v>
      </c>
      <c r="AD1387" s="40">
        <f t="shared" si="176"/>
        <v>287</v>
      </c>
      <c r="AE1387" s="38" t="s">
        <v>488</v>
      </c>
      <c r="AF1387" s="40">
        <f t="shared" si="175"/>
        <v>149.24</v>
      </c>
      <c r="AG1387" s="47">
        <f t="shared" si="164"/>
        <v>0</v>
      </c>
    </row>
    <row r="1388" spans="6:33" ht="24" customHeight="1">
      <c r="K1388" s="35" t="s">
        <v>41</v>
      </c>
      <c r="N1388" s="29"/>
      <c r="O1388" s="26" t="s">
        <v>403</v>
      </c>
      <c r="Q1388" s="33"/>
      <c r="R1388" s="40">
        <f>(R1386/10)</f>
        <v>2502.8824399999999</v>
      </c>
      <c r="S1388" s="76">
        <v>11.56</v>
      </c>
      <c r="T1388" s="38" t="s">
        <v>488</v>
      </c>
      <c r="U1388" s="26" t="s">
        <v>1582</v>
      </c>
      <c r="V1388" s="40">
        <f t="shared" si="177"/>
        <v>287</v>
      </c>
      <c r="W1388" s="38" t="s">
        <v>488</v>
      </c>
      <c r="X1388" s="40">
        <f t="shared" si="178"/>
        <v>3317.7200000000003</v>
      </c>
      <c r="Y1388" s="40"/>
      <c r="Z1388" s="107">
        <v>0.53300000000000003</v>
      </c>
      <c r="AA1388" s="38" t="s">
        <v>480</v>
      </c>
      <c r="AB1388" s="38"/>
      <c r="AC1388" s="26" t="s">
        <v>1588</v>
      </c>
      <c r="AD1388" s="40">
        <f t="shared" si="176"/>
        <v>208.8</v>
      </c>
      <c r="AE1388" s="38" t="s">
        <v>480</v>
      </c>
      <c r="AF1388" s="40">
        <f t="shared" si="175"/>
        <v>111.29040000000001</v>
      </c>
      <c r="AG1388" s="47">
        <f t="shared" si="164"/>
        <v>0</v>
      </c>
    </row>
    <row r="1389" spans="6:33" ht="24" customHeight="1">
      <c r="K1389" s="35"/>
      <c r="N1389" s="29"/>
      <c r="Q1389" s="33"/>
      <c r="R1389" s="35" t="s">
        <v>41</v>
      </c>
      <c r="S1389" s="76">
        <v>2.0099999999999998</v>
      </c>
      <c r="T1389" s="38" t="s">
        <v>488</v>
      </c>
      <c r="U1389" s="26" t="s">
        <v>1582</v>
      </c>
      <c r="V1389" s="40">
        <f t="shared" si="177"/>
        <v>287</v>
      </c>
      <c r="W1389" s="38" t="s">
        <v>488</v>
      </c>
      <c r="X1389" s="40">
        <f t="shared" si="178"/>
        <v>576.86999999999989</v>
      </c>
      <c r="Y1389" s="40"/>
      <c r="Z1389" s="107">
        <v>4.1959999999999997</v>
      </c>
      <c r="AA1389" s="38" t="s">
        <v>1125</v>
      </c>
      <c r="AB1389" s="38"/>
      <c r="AC1389" s="26" t="s">
        <v>1591</v>
      </c>
      <c r="AD1389" s="40">
        <f t="shared" si="176"/>
        <v>28.6</v>
      </c>
      <c r="AE1389" s="38" t="s">
        <v>1125</v>
      </c>
      <c r="AF1389" s="40">
        <f t="shared" si="175"/>
        <v>120.0056</v>
      </c>
      <c r="AG1389" s="47">
        <f t="shared" si="164"/>
        <v>0</v>
      </c>
    </row>
    <row r="1390" spans="6:33" ht="24" customHeight="1">
      <c r="F1390" s="27" t="s">
        <v>1615</v>
      </c>
      <c r="G1390" s="38" t="s">
        <v>67</v>
      </c>
      <c r="H1390" s="26" t="s">
        <v>1616</v>
      </c>
      <c r="N1390" s="29"/>
      <c r="O1390" s="184" t="s">
        <v>1617</v>
      </c>
      <c r="Q1390" s="31"/>
      <c r="S1390" s="76">
        <v>1.96</v>
      </c>
      <c r="T1390" s="38" t="s">
        <v>480</v>
      </c>
      <c r="U1390" s="26" t="s">
        <v>1588</v>
      </c>
      <c r="V1390" s="40">
        <f t="shared" si="177"/>
        <v>208.8</v>
      </c>
      <c r="W1390" s="38" t="s">
        <v>480</v>
      </c>
      <c r="X1390" s="40">
        <f t="shared" si="178"/>
        <v>409.24799999999999</v>
      </c>
      <c r="Y1390" s="40"/>
      <c r="Z1390" s="107">
        <v>4</v>
      </c>
      <c r="AA1390" s="38" t="s">
        <v>196</v>
      </c>
      <c r="AB1390" s="38"/>
      <c r="AC1390" s="26" t="s">
        <v>1593</v>
      </c>
      <c r="AD1390" s="40">
        <f t="shared" si="176"/>
        <v>63.5</v>
      </c>
      <c r="AE1390" s="38" t="s">
        <v>196</v>
      </c>
      <c r="AF1390" s="40">
        <f t="shared" si="175"/>
        <v>254</v>
      </c>
      <c r="AG1390" s="47">
        <f t="shared" si="164"/>
        <v>0</v>
      </c>
    </row>
    <row r="1391" spans="6:33" ht="24" customHeight="1">
      <c r="H1391" s="35" t="s">
        <v>48</v>
      </c>
      <c r="M1391" s="107">
        <v>4.1849999999999996</v>
      </c>
      <c r="N1391" s="38" t="s">
        <v>488</v>
      </c>
      <c r="O1391" s="96" t="s">
        <v>1618</v>
      </c>
      <c r="P1391" s="49">
        <v>287</v>
      </c>
      <c r="Q1391" s="38" t="s">
        <v>488</v>
      </c>
      <c r="R1391" s="40">
        <f>P1391*M1391</f>
        <v>1201.0949999999998</v>
      </c>
      <c r="S1391" s="76">
        <v>16.224</v>
      </c>
      <c r="T1391" s="38" t="s">
        <v>1125</v>
      </c>
      <c r="U1391" s="26" t="s">
        <v>1591</v>
      </c>
      <c r="V1391" s="40">
        <f t="shared" si="177"/>
        <v>28.6</v>
      </c>
      <c r="W1391" s="38" t="s">
        <v>1125</v>
      </c>
      <c r="X1391" s="40">
        <f t="shared" si="178"/>
        <v>464.00640000000004</v>
      </c>
      <c r="Y1391" s="40"/>
      <c r="Z1391" s="107">
        <v>2</v>
      </c>
      <c r="AA1391" s="38" t="s">
        <v>196</v>
      </c>
      <c r="AB1391" s="38"/>
      <c r="AC1391" s="26" t="s">
        <v>1595</v>
      </c>
      <c r="AD1391" s="40">
        <f t="shared" si="176"/>
        <v>50.9</v>
      </c>
      <c r="AE1391" s="38" t="s">
        <v>196</v>
      </c>
      <c r="AF1391" s="40">
        <f t="shared" si="175"/>
        <v>101.8</v>
      </c>
      <c r="AG1391" s="47">
        <f t="shared" si="164"/>
        <v>0</v>
      </c>
    </row>
    <row r="1392" spans="6:33" ht="24" customHeight="1">
      <c r="F1392" s="40">
        <v>0.14000000000000001</v>
      </c>
      <c r="G1392" s="38" t="s">
        <v>93</v>
      </c>
      <c r="H1392" s="26" t="s">
        <v>245</v>
      </c>
      <c r="I1392" s="40">
        <f>(K49)</f>
        <v>4558.04</v>
      </c>
      <c r="J1392" s="26" t="s">
        <v>93</v>
      </c>
      <c r="K1392" s="40">
        <f>(F1392*I1392)</f>
        <v>638.12560000000008</v>
      </c>
      <c r="M1392" s="107">
        <v>4.55</v>
      </c>
      <c r="N1392" s="38" t="s">
        <v>488</v>
      </c>
      <c r="O1392" s="26" t="s">
        <v>1582</v>
      </c>
      <c r="P1392" s="40">
        <f>P1391</f>
        <v>287</v>
      </c>
      <c r="Q1392" s="38" t="s">
        <v>488</v>
      </c>
      <c r="R1392" s="40">
        <f t="shared" ref="R1392:R1402" si="179">P1392*M1392</f>
        <v>1305.8499999999999</v>
      </c>
      <c r="S1392" s="76">
        <v>16</v>
      </c>
      <c r="T1392" s="38" t="s">
        <v>196</v>
      </c>
      <c r="U1392" s="26" t="s">
        <v>1593</v>
      </c>
      <c r="V1392" s="40">
        <f t="shared" si="177"/>
        <v>63.5</v>
      </c>
      <c r="W1392" s="38" t="s">
        <v>196</v>
      </c>
      <c r="X1392" s="40">
        <f t="shared" si="178"/>
        <v>1016</v>
      </c>
      <c r="Y1392" s="40"/>
      <c r="Z1392" s="107">
        <v>2</v>
      </c>
      <c r="AA1392" s="38" t="s">
        <v>196</v>
      </c>
      <c r="AB1392" s="38"/>
      <c r="AC1392" s="26" t="s">
        <v>1598</v>
      </c>
      <c r="AD1392" s="40">
        <f t="shared" si="176"/>
        <v>30</v>
      </c>
      <c r="AE1392" s="38" t="s">
        <v>196</v>
      </c>
      <c r="AF1392" s="40">
        <f t="shared" si="175"/>
        <v>60</v>
      </c>
      <c r="AG1392" s="47">
        <f t="shared" si="164"/>
        <v>0</v>
      </c>
    </row>
    <row r="1393" spans="6:33" ht="24" customHeight="1">
      <c r="F1393" s="40">
        <v>1.1000000000000001</v>
      </c>
      <c r="G1393" s="38" t="s">
        <v>105</v>
      </c>
      <c r="H1393" s="26" t="s">
        <v>298</v>
      </c>
      <c r="I1393" s="40">
        <f>(C10)</f>
        <v>1076.5999999999999</v>
      </c>
      <c r="J1393" s="26" t="s">
        <v>105</v>
      </c>
      <c r="K1393" s="40">
        <f>(F1393*I1393)</f>
        <v>1184.26</v>
      </c>
      <c r="M1393" s="107">
        <v>8.66</v>
      </c>
      <c r="N1393" s="38" t="s">
        <v>488</v>
      </c>
      <c r="O1393" s="26" t="s">
        <v>1582</v>
      </c>
      <c r="P1393" s="40">
        <f>P1391</f>
        <v>287</v>
      </c>
      <c r="Q1393" s="38" t="s">
        <v>488</v>
      </c>
      <c r="R1393" s="40">
        <f t="shared" si="179"/>
        <v>2485.42</v>
      </c>
      <c r="S1393" s="76">
        <v>8</v>
      </c>
      <c r="T1393" s="38" t="s">
        <v>196</v>
      </c>
      <c r="U1393" s="26" t="s">
        <v>1595</v>
      </c>
      <c r="V1393" s="40">
        <f t="shared" si="177"/>
        <v>50.9</v>
      </c>
      <c r="W1393" s="38" t="s">
        <v>196</v>
      </c>
      <c r="X1393" s="40">
        <f t="shared" si="178"/>
        <v>407.2</v>
      </c>
      <c r="Y1393" s="40"/>
      <c r="Z1393" s="107">
        <v>2</v>
      </c>
      <c r="AA1393" s="38" t="s">
        <v>196</v>
      </c>
      <c r="AB1393" s="38"/>
      <c r="AC1393" s="26" t="s">
        <v>1599</v>
      </c>
      <c r="AD1393" s="40">
        <f t="shared" si="176"/>
        <v>20</v>
      </c>
      <c r="AE1393" s="38" t="s">
        <v>196</v>
      </c>
      <c r="AF1393" s="40">
        <f t="shared" si="175"/>
        <v>40</v>
      </c>
      <c r="AG1393" s="47">
        <f t="shared" si="164"/>
        <v>0</v>
      </c>
    </row>
    <row r="1394" spans="6:33" ht="24" customHeight="1">
      <c r="F1394" s="40">
        <v>0.5</v>
      </c>
      <c r="G1394" s="38" t="s">
        <v>105</v>
      </c>
      <c r="H1394" s="26" t="s">
        <v>271</v>
      </c>
      <c r="I1394" s="40">
        <f>(C12)</f>
        <v>702.8</v>
      </c>
      <c r="J1394" s="26" t="s">
        <v>105</v>
      </c>
      <c r="K1394" s="40">
        <f>(F1394*I1394)</f>
        <v>351.4</v>
      </c>
      <c r="M1394" s="107">
        <v>1.51</v>
      </c>
      <c r="N1394" s="38" t="s">
        <v>488</v>
      </c>
      <c r="O1394" s="26" t="s">
        <v>1582</v>
      </c>
      <c r="P1394" s="40">
        <f>P1391</f>
        <v>287</v>
      </c>
      <c r="Q1394" s="38" t="s">
        <v>488</v>
      </c>
      <c r="R1394" s="40">
        <f t="shared" si="179"/>
        <v>433.37</v>
      </c>
      <c r="S1394" s="76">
        <v>8</v>
      </c>
      <c r="T1394" s="38" t="s">
        <v>196</v>
      </c>
      <c r="U1394" s="26" t="s">
        <v>1598</v>
      </c>
      <c r="V1394" s="40">
        <f t="shared" si="177"/>
        <v>30</v>
      </c>
      <c r="W1394" s="38" t="s">
        <v>196</v>
      </c>
      <c r="X1394" s="40">
        <f t="shared" si="178"/>
        <v>240</v>
      </c>
      <c r="Y1394" s="40"/>
      <c r="Z1394" s="107">
        <v>4</v>
      </c>
      <c r="AA1394" s="38" t="s">
        <v>196</v>
      </c>
      <c r="AB1394" s="38"/>
      <c r="AC1394" s="26" t="s">
        <v>1601</v>
      </c>
      <c r="AD1394" s="40">
        <f t="shared" si="176"/>
        <v>15</v>
      </c>
      <c r="AE1394" s="38" t="s">
        <v>196</v>
      </c>
      <c r="AF1394" s="40">
        <f t="shared" si="175"/>
        <v>60</v>
      </c>
      <c r="AG1394" s="47">
        <f t="shared" si="164"/>
        <v>0</v>
      </c>
    </row>
    <row r="1395" spans="6:33" ht="24" customHeight="1">
      <c r="F1395" s="40">
        <v>1.1000000000000001</v>
      </c>
      <c r="G1395" s="38" t="s">
        <v>105</v>
      </c>
      <c r="H1395" s="26" t="s">
        <v>276</v>
      </c>
      <c r="I1395" s="40">
        <f>(C13)</f>
        <v>576.79999999999995</v>
      </c>
      <c r="J1395" s="26" t="s">
        <v>105</v>
      </c>
      <c r="K1395" s="40">
        <f>(F1395*I1395)</f>
        <v>634.48</v>
      </c>
      <c r="M1395" s="107">
        <v>1.462</v>
      </c>
      <c r="N1395" s="38" t="s">
        <v>480</v>
      </c>
      <c r="O1395" s="96" t="s">
        <v>1588</v>
      </c>
      <c r="P1395" s="73">
        <v>208.8</v>
      </c>
      <c r="Q1395" s="38" t="s">
        <v>480</v>
      </c>
      <c r="R1395" s="40">
        <f t="shared" si="179"/>
        <v>305.26560000000001</v>
      </c>
      <c r="S1395" s="76">
        <v>8</v>
      </c>
      <c r="T1395" s="38" t="s">
        <v>196</v>
      </c>
      <c r="U1395" s="26" t="s">
        <v>1599</v>
      </c>
      <c r="V1395" s="40">
        <f t="shared" si="177"/>
        <v>20</v>
      </c>
      <c r="W1395" s="38" t="s">
        <v>196</v>
      </c>
      <c r="X1395" s="40">
        <f t="shared" si="178"/>
        <v>160</v>
      </c>
      <c r="Y1395" s="40"/>
      <c r="Z1395" s="107">
        <v>0.67500000000000004</v>
      </c>
      <c r="AA1395" s="38" t="s">
        <v>788</v>
      </c>
      <c r="AB1395" s="38"/>
      <c r="AC1395" s="26" t="s">
        <v>1602</v>
      </c>
      <c r="AD1395" s="40">
        <f t="shared" si="176"/>
        <v>2156</v>
      </c>
      <c r="AE1395" s="38" t="s">
        <v>788</v>
      </c>
      <c r="AF1395" s="40">
        <f t="shared" si="175"/>
        <v>1455.3000000000002</v>
      </c>
      <c r="AG1395" s="47">
        <f t="shared" si="164"/>
        <v>0</v>
      </c>
    </row>
    <row r="1396" spans="6:33" ht="24" customHeight="1">
      <c r="G1396" s="38" t="s">
        <v>106</v>
      </c>
      <c r="H1396" s="26" t="s">
        <v>107</v>
      </c>
      <c r="I1396" s="26" t="s">
        <v>27</v>
      </c>
      <c r="J1396" s="26" t="s">
        <v>106</v>
      </c>
      <c r="K1396" s="40">
        <v>5</v>
      </c>
      <c r="M1396" s="107">
        <v>12.144</v>
      </c>
      <c r="N1396" s="38" t="s">
        <v>1125</v>
      </c>
      <c r="O1396" s="96" t="s">
        <v>1619</v>
      </c>
      <c r="P1396" s="49">
        <v>28.6</v>
      </c>
      <c r="Q1396" s="38" t="s">
        <v>1125</v>
      </c>
      <c r="R1396" s="40">
        <f t="shared" si="179"/>
        <v>347.3184</v>
      </c>
      <c r="S1396" s="76">
        <v>4</v>
      </c>
      <c r="T1396" s="38" t="s">
        <v>196</v>
      </c>
      <c r="U1396" s="26" t="s">
        <v>1601</v>
      </c>
      <c r="V1396" s="40">
        <f t="shared" si="177"/>
        <v>15</v>
      </c>
      <c r="W1396" s="38" t="s">
        <v>196</v>
      </c>
      <c r="X1396" s="40">
        <f t="shared" si="178"/>
        <v>60</v>
      </c>
      <c r="Y1396" s="40"/>
      <c r="AA1396" s="29"/>
      <c r="AB1396" s="29"/>
      <c r="AC1396" s="26" t="s">
        <v>1604</v>
      </c>
      <c r="AE1396" s="33"/>
      <c r="AF1396" s="40">
        <v>0.39</v>
      </c>
      <c r="AG1396" s="47">
        <f t="shared" si="164"/>
        <v>0</v>
      </c>
    </row>
    <row r="1397" spans="6:33" ht="24" customHeight="1">
      <c r="K1397" s="35" t="s">
        <v>48</v>
      </c>
      <c r="M1397" s="107">
        <v>12</v>
      </c>
      <c r="N1397" s="38" t="s">
        <v>196</v>
      </c>
      <c r="O1397" s="96" t="s">
        <v>1620</v>
      </c>
      <c r="P1397" s="49">
        <v>63.5</v>
      </c>
      <c r="Q1397" s="38" t="s">
        <v>196</v>
      </c>
      <c r="R1397" s="40">
        <f t="shared" si="179"/>
        <v>762</v>
      </c>
      <c r="S1397" s="76">
        <v>2.4300000000000002</v>
      </c>
      <c r="T1397" s="38" t="s">
        <v>788</v>
      </c>
      <c r="U1397" s="26" t="s">
        <v>1602</v>
      </c>
      <c r="V1397" s="40">
        <f t="shared" si="177"/>
        <v>2156</v>
      </c>
      <c r="W1397" s="38" t="s">
        <v>788</v>
      </c>
      <c r="X1397" s="40">
        <f t="shared" si="178"/>
        <v>5239.08</v>
      </c>
      <c r="Y1397" s="40"/>
      <c r="AC1397" s="37" t="s">
        <v>1606</v>
      </c>
      <c r="AF1397" s="39">
        <f>SUM(AF1384:AF1396)</f>
        <v>4191.6960000000008</v>
      </c>
      <c r="AG1397" s="47">
        <f t="shared" si="164"/>
        <v>0</v>
      </c>
    </row>
    <row r="1398" spans="6:33" ht="24" customHeight="1">
      <c r="H1398" s="26" t="s">
        <v>401</v>
      </c>
      <c r="K1398" s="40">
        <f>SUM(K1392:K1396)</f>
        <v>2813.2656000000002</v>
      </c>
      <c r="M1398" s="107">
        <v>6</v>
      </c>
      <c r="N1398" s="38" t="s">
        <v>196</v>
      </c>
      <c r="O1398" s="96" t="s">
        <v>1621</v>
      </c>
      <c r="P1398" s="48">
        <f>P1094</f>
        <v>50.9</v>
      </c>
      <c r="Q1398" s="38" t="s">
        <v>196</v>
      </c>
      <c r="R1398" s="40">
        <f t="shared" si="179"/>
        <v>305.39999999999998</v>
      </c>
      <c r="T1398" s="29"/>
      <c r="U1398" s="26" t="s">
        <v>1604</v>
      </c>
      <c r="W1398" s="33"/>
      <c r="X1398" s="40"/>
      <c r="Y1398" s="40"/>
      <c r="AG1398" s="47">
        <f t="shared" si="164"/>
        <v>0</v>
      </c>
    </row>
    <row r="1399" spans="6:33" ht="24" customHeight="1">
      <c r="K1399" s="35" t="s">
        <v>48</v>
      </c>
      <c r="M1399" s="107">
        <v>6</v>
      </c>
      <c r="N1399" s="38" t="s">
        <v>196</v>
      </c>
      <c r="O1399" s="26" t="s">
        <v>1622</v>
      </c>
      <c r="P1399" s="40">
        <v>30</v>
      </c>
      <c r="Q1399" s="38" t="s">
        <v>196</v>
      </c>
      <c r="R1399" s="40">
        <f t="shared" si="179"/>
        <v>180</v>
      </c>
      <c r="U1399" s="37" t="s">
        <v>1606</v>
      </c>
      <c r="X1399" s="39">
        <f>SUM(X1386:X1398)</f>
        <v>15176.2744</v>
      </c>
      <c r="Y1399" s="39"/>
      <c r="AA1399" s="29"/>
      <c r="AB1399" s="29"/>
      <c r="AC1399" s="184" t="s">
        <v>1623</v>
      </c>
      <c r="AE1399" s="31"/>
      <c r="AG1399" s="47">
        <f t="shared" si="164"/>
        <v>0</v>
      </c>
    </row>
    <row r="1400" spans="6:33" ht="24" customHeight="1">
      <c r="H1400" s="42" t="s">
        <v>403</v>
      </c>
      <c r="K1400" s="39">
        <f>(K1398/10)</f>
        <v>281.32656000000003</v>
      </c>
      <c r="M1400" s="107">
        <v>6</v>
      </c>
      <c r="N1400" s="38" t="s">
        <v>196</v>
      </c>
      <c r="O1400" s="26" t="s">
        <v>1599</v>
      </c>
      <c r="P1400" s="40">
        <v>20</v>
      </c>
      <c r="Q1400" s="38" t="s">
        <v>196</v>
      </c>
      <c r="R1400" s="40">
        <f t="shared" si="179"/>
        <v>120</v>
      </c>
      <c r="Z1400" s="107">
        <v>2.33</v>
      </c>
      <c r="AA1400" s="38" t="s">
        <v>488</v>
      </c>
      <c r="AB1400" s="38"/>
      <c r="AC1400" s="26" t="s">
        <v>1582</v>
      </c>
      <c r="AD1400" s="40">
        <f t="shared" ref="AD1400:AD1411" si="180">V1402</f>
        <v>287</v>
      </c>
      <c r="AE1400" s="38" t="s">
        <v>488</v>
      </c>
      <c r="AF1400" s="40">
        <f t="shared" ref="AF1400:AF1411" si="181">AD1400*Z1400</f>
        <v>668.71</v>
      </c>
      <c r="AG1400" s="47">
        <f t="shared" si="164"/>
        <v>0</v>
      </c>
    </row>
    <row r="1401" spans="6:33" ht="24" customHeight="1">
      <c r="F1401" s="26" t="s">
        <v>27</v>
      </c>
      <c r="M1401" s="107">
        <v>4</v>
      </c>
      <c r="N1401" s="38" t="s">
        <v>196</v>
      </c>
      <c r="O1401" s="26" t="s">
        <v>1601</v>
      </c>
      <c r="P1401" s="40">
        <v>15</v>
      </c>
      <c r="Q1401" s="38" t="s">
        <v>196</v>
      </c>
      <c r="R1401" s="40">
        <f t="shared" si="179"/>
        <v>60</v>
      </c>
      <c r="T1401" s="29"/>
      <c r="U1401" s="184" t="s">
        <v>1624</v>
      </c>
      <c r="W1401" s="31"/>
      <c r="Z1401" s="107">
        <v>0.67</v>
      </c>
      <c r="AA1401" s="38" t="s">
        <v>488</v>
      </c>
      <c r="AB1401" s="38"/>
      <c r="AC1401" s="26" t="s">
        <v>1582</v>
      </c>
      <c r="AD1401" s="40">
        <f t="shared" si="180"/>
        <v>287</v>
      </c>
      <c r="AE1401" s="38" t="s">
        <v>488</v>
      </c>
      <c r="AF1401" s="40">
        <f t="shared" si="181"/>
        <v>192.29000000000002</v>
      </c>
      <c r="AG1401" s="47">
        <f t="shared" si="164"/>
        <v>0</v>
      </c>
    </row>
    <row r="1402" spans="6:33" ht="24" customHeight="1">
      <c r="K1402" s="35" t="s">
        <v>41</v>
      </c>
      <c r="M1402" s="107">
        <v>1.823</v>
      </c>
      <c r="N1402" s="38" t="s">
        <v>788</v>
      </c>
      <c r="O1402" s="26" t="s">
        <v>1602</v>
      </c>
      <c r="P1402" s="28">
        <f>ROUND(AG17+AG11+(AG20*0.5),2)</f>
        <v>2156</v>
      </c>
      <c r="Q1402" s="38" t="s">
        <v>788</v>
      </c>
      <c r="R1402" s="40">
        <f t="shared" si="179"/>
        <v>3930.3879999999999</v>
      </c>
      <c r="S1402" s="76">
        <f>8*0.775</f>
        <v>6.2</v>
      </c>
      <c r="T1402" s="38" t="s">
        <v>488</v>
      </c>
      <c r="U1402" s="26" t="s">
        <v>1582</v>
      </c>
      <c r="V1402" s="40">
        <f>V1386</f>
        <v>287</v>
      </c>
      <c r="W1402" s="38" t="s">
        <v>488</v>
      </c>
      <c r="X1402" s="40">
        <f>V1402*S1402</f>
        <v>1779.4</v>
      </c>
      <c r="Y1402" s="40"/>
      <c r="Z1402" s="107">
        <v>2.65</v>
      </c>
      <c r="AA1402" s="38" t="s">
        <v>488</v>
      </c>
      <c r="AB1402" s="38"/>
      <c r="AC1402" s="26" t="s">
        <v>1582</v>
      </c>
      <c r="AD1402" s="40">
        <f t="shared" si="180"/>
        <v>287</v>
      </c>
      <c r="AE1402" s="38" t="s">
        <v>488</v>
      </c>
      <c r="AF1402" s="40">
        <f t="shared" si="181"/>
        <v>760.55</v>
      </c>
      <c r="AG1402" s="47">
        <f t="shared" si="164"/>
        <v>0</v>
      </c>
    </row>
    <row r="1403" spans="6:33" ht="24" customHeight="1">
      <c r="F1403" s="27" t="s">
        <v>1625</v>
      </c>
      <c r="G1403" s="38" t="s">
        <v>67</v>
      </c>
      <c r="H1403" s="26" t="s">
        <v>1626</v>
      </c>
      <c r="N1403" s="29"/>
      <c r="O1403" s="26" t="s">
        <v>1604</v>
      </c>
      <c r="Q1403" s="33"/>
      <c r="R1403" s="40">
        <v>0.51</v>
      </c>
      <c r="S1403" s="76">
        <f>8.4*1.123</f>
        <v>9.4332000000000011</v>
      </c>
      <c r="T1403" s="38" t="s">
        <v>488</v>
      </c>
      <c r="U1403" s="26" t="s">
        <v>1582</v>
      </c>
      <c r="V1403" s="40">
        <f t="shared" ref="V1403:V1413" si="182">V1387</f>
        <v>287</v>
      </c>
      <c r="W1403" s="38" t="s">
        <v>488</v>
      </c>
      <c r="X1403" s="40">
        <f t="shared" ref="X1403:X1413" si="183">V1403*S1403</f>
        <v>2707.3284000000003</v>
      </c>
      <c r="Y1403" s="40"/>
      <c r="Z1403" s="107">
        <v>0.46</v>
      </c>
      <c r="AA1403" s="38" t="s">
        <v>488</v>
      </c>
      <c r="AB1403" s="38"/>
      <c r="AC1403" s="26" t="s">
        <v>1582</v>
      </c>
      <c r="AD1403" s="40">
        <f t="shared" si="180"/>
        <v>287</v>
      </c>
      <c r="AE1403" s="38" t="s">
        <v>488</v>
      </c>
      <c r="AF1403" s="40">
        <f t="shared" si="181"/>
        <v>132.02000000000001</v>
      </c>
      <c r="AG1403" s="47">
        <f t="shared" si="164"/>
        <v>0</v>
      </c>
    </row>
    <row r="1404" spans="6:33" ht="24" customHeight="1">
      <c r="H1404" s="35" t="s">
        <v>48</v>
      </c>
      <c r="L1404" s="28">
        <f>5.85*1.123</f>
        <v>6.5695499999999996</v>
      </c>
      <c r="R1404" s="39">
        <f>SUM(R1391:R1403)</f>
        <v>11436.617</v>
      </c>
      <c r="S1404" s="76">
        <f>24.24*0.663</f>
        <v>16.071120000000001</v>
      </c>
      <c r="T1404" s="38" t="s">
        <v>488</v>
      </c>
      <c r="U1404" s="26" t="s">
        <v>1582</v>
      </c>
      <c r="V1404" s="40">
        <f t="shared" si="182"/>
        <v>287</v>
      </c>
      <c r="W1404" s="38" t="s">
        <v>488</v>
      </c>
      <c r="X1404" s="40">
        <f t="shared" si="183"/>
        <v>4612.4114399999999</v>
      </c>
      <c r="Y1404" s="40"/>
      <c r="Z1404" s="107">
        <v>0.41699999999999998</v>
      </c>
      <c r="AA1404" s="38" t="s">
        <v>480</v>
      </c>
      <c r="AB1404" s="38"/>
      <c r="AC1404" s="26" t="s">
        <v>1588</v>
      </c>
      <c r="AD1404" s="40">
        <f t="shared" si="180"/>
        <v>208.8</v>
      </c>
      <c r="AE1404" s="38" t="s">
        <v>480</v>
      </c>
      <c r="AF1404" s="40">
        <f t="shared" si="181"/>
        <v>87.069599999999994</v>
      </c>
      <c r="AG1404" s="47">
        <f t="shared" si="164"/>
        <v>0</v>
      </c>
    </row>
    <row r="1405" spans="6:33" ht="24" customHeight="1">
      <c r="F1405" s="40">
        <v>0.14000000000000001</v>
      </c>
      <c r="G1405" s="38" t="s">
        <v>93</v>
      </c>
      <c r="H1405" s="26" t="s">
        <v>218</v>
      </c>
      <c r="I1405" s="40">
        <f>(K40)</f>
        <v>4975.6400000000003</v>
      </c>
      <c r="J1405" s="26" t="s">
        <v>93</v>
      </c>
      <c r="K1405" s="40">
        <f>(F1405*I1405)</f>
        <v>696.58960000000013</v>
      </c>
      <c r="O1405" s="220"/>
      <c r="S1405" s="76">
        <f>23.02*0.124</f>
        <v>2.8544800000000001</v>
      </c>
      <c r="T1405" s="38" t="s">
        <v>488</v>
      </c>
      <c r="U1405" s="26" t="s">
        <v>1582</v>
      </c>
      <c r="V1405" s="40">
        <f t="shared" si="182"/>
        <v>287</v>
      </c>
      <c r="W1405" s="38" t="s">
        <v>488</v>
      </c>
      <c r="X1405" s="40">
        <f t="shared" si="183"/>
        <v>819.23576000000003</v>
      </c>
      <c r="Y1405" s="40"/>
      <c r="Z1405" s="107">
        <v>3.6960000000000002</v>
      </c>
      <c r="AA1405" s="38" t="s">
        <v>1125</v>
      </c>
      <c r="AB1405" s="38"/>
      <c r="AC1405" s="26" t="s">
        <v>1591</v>
      </c>
      <c r="AD1405" s="40">
        <f t="shared" si="180"/>
        <v>28.6</v>
      </c>
      <c r="AE1405" s="38" t="s">
        <v>1125</v>
      </c>
      <c r="AF1405" s="40">
        <f t="shared" si="181"/>
        <v>105.7056</v>
      </c>
      <c r="AG1405" s="47">
        <f t="shared" si="164"/>
        <v>0</v>
      </c>
    </row>
    <row r="1406" spans="6:33" ht="24" customHeight="1">
      <c r="F1406" s="40">
        <v>1.1000000000000001</v>
      </c>
      <c r="G1406" s="38" t="s">
        <v>105</v>
      </c>
      <c r="H1406" s="26" t="s">
        <v>298</v>
      </c>
      <c r="I1406" s="40">
        <f>(C10)</f>
        <v>1076.5999999999999</v>
      </c>
      <c r="J1406" s="26" t="s">
        <v>105</v>
      </c>
      <c r="K1406" s="40">
        <f>(F1406*I1406)</f>
        <v>1184.26</v>
      </c>
      <c r="S1406" s="76">
        <f>3.31</f>
        <v>3.31</v>
      </c>
      <c r="T1406" s="38" t="s">
        <v>480</v>
      </c>
      <c r="U1406" s="26" t="s">
        <v>1588</v>
      </c>
      <c r="V1406" s="40">
        <f t="shared" si="182"/>
        <v>208.8</v>
      </c>
      <c r="W1406" s="38" t="s">
        <v>480</v>
      </c>
      <c r="X1406" s="40">
        <f t="shared" si="183"/>
        <v>691.12800000000004</v>
      </c>
      <c r="Y1406" s="40"/>
      <c r="Z1406" s="107">
        <v>4</v>
      </c>
      <c r="AA1406" s="38" t="s">
        <v>196</v>
      </c>
      <c r="AB1406" s="38"/>
      <c r="AC1406" s="26" t="s">
        <v>1593</v>
      </c>
      <c r="AD1406" s="40">
        <f t="shared" si="180"/>
        <v>63.5</v>
      </c>
      <c r="AE1406" s="38" t="s">
        <v>196</v>
      </c>
      <c r="AF1406" s="40">
        <f t="shared" si="181"/>
        <v>254</v>
      </c>
      <c r="AG1406" s="47">
        <f t="shared" ref="AG1406:AG1469" si="184">AI1406</f>
        <v>0</v>
      </c>
    </row>
    <row r="1407" spans="6:33" ht="24" customHeight="1">
      <c r="F1407" s="40">
        <v>0.5</v>
      </c>
      <c r="G1407" s="38" t="s">
        <v>105</v>
      </c>
      <c r="H1407" s="26" t="s">
        <v>271</v>
      </c>
      <c r="I1407" s="40">
        <f>(C12)</f>
        <v>702.8</v>
      </c>
      <c r="J1407" s="26" t="s">
        <v>105</v>
      </c>
      <c r="K1407" s="40">
        <f>(F1407*I1407)</f>
        <v>351.4</v>
      </c>
      <c r="N1407" s="29"/>
      <c r="O1407" s="184" t="s">
        <v>1627</v>
      </c>
      <c r="Q1407" s="31"/>
      <c r="S1407" s="76">
        <v>23.02</v>
      </c>
      <c r="T1407" s="38" t="s">
        <v>1125</v>
      </c>
      <c r="U1407" s="26" t="s">
        <v>1591</v>
      </c>
      <c r="V1407" s="40">
        <f t="shared" si="182"/>
        <v>28.6</v>
      </c>
      <c r="W1407" s="38" t="s">
        <v>1125</v>
      </c>
      <c r="X1407" s="40">
        <f t="shared" si="183"/>
        <v>658.37200000000007</v>
      </c>
      <c r="Y1407" s="40"/>
      <c r="Z1407" s="107">
        <v>2</v>
      </c>
      <c r="AA1407" s="38" t="s">
        <v>196</v>
      </c>
      <c r="AB1407" s="38"/>
      <c r="AC1407" s="26" t="s">
        <v>1595</v>
      </c>
      <c r="AD1407" s="40">
        <f t="shared" si="180"/>
        <v>50.9</v>
      </c>
      <c r="AE1407" s="38" t="s">
        <v>196</v>
      </c>
      <c r="AF1407" s="40">
        <f t="shared" si="181"/>
        <v>101.8</v>
      </c>
      <c r="AG1407" s="47">
        <f t="shared" si="184"/>
        <v>0</v>
      </c>
    </row>
    <row r="1408" spans="6:33" ht="24" customHeight="1">
      <c r="F1408" s="40">
        <v>1.1000000000000001</v>
      </c>
      <c r="G1408" s="38" t="s">
        <v>105</v>
      </c>
      <c r="H1408" s="26" t="s">
        <v>276</v>
      </c>
      <c r="I1408" s="40">
        <f>(C13)</f>
        <v>576.79999999999995</v>
      </c>
      <c r="J1408" s="26" t="s">
        <v>105</v>
      </c>
      <c r="K1408" s="40">
        <f>(F1408*I1408)</f>
        <v>634.48</v>
      </c>
      <c r="M1408" s="107">
        <v>3.95</v>
      </c>
      <c r="N1408" s="38" t="s">
        <v>488</v>
      </c>
      <c r="O1408" s="96" t="s">
        <v>1628</v>
      </c>
      <c r="P1408" s="40">
        <f>P1391</f>
        <v>287</v>
      </c>
      <c r="Q1408" s="38" t="s">
        <v>488</v>
      </c>
      <c r="R1408" s="40">
        <f>P1408*M1408</f>
        <v>1133.6500000000001</v>
      </c>
      <c r="S1408" s="76">
        <v>16</v>
      </c>
      <c r="T1408" s="38" t="s">
        <v>196</v>
      </c>
      <c r="U1408" s="26" t="s">
        <v>1593</v>
      </c>
      <c r="V1408" s="40">
        <f t="shared" si="182"/>
        <v>63.5</v>
      </c>
      <c r="W1408" s="38" t="s">
        <v>196</v>
      </c>
      <c r="X1408" s="40">
        <f t="shared" si="183"/>
        <v>1016</v>
      </c>
      <c r="Y1408" s="40"/>
      <c r="Z1408" s="107">
        <v>2</v>
      </c>
      <c r="AA1408" s="38" t="s">
        <v>196</v>
      </c>
      <c r="AB1408" s="38"/>
      <c r="AC1408" s="26" t="s">
        <v>1598</v>
      </c>
      <c r="AD1408" s="40">
        <f t="shared" si="180"/>
        <v>30</v>
      </c>
      <c r="AE1408" s="38" t="s">
        <v>196</v>
      </c>
      <c r="AF1408" s="40">
        <f t="shared" si="181"/>
        <v>60</v>
      </c>
      <c r="AG1408" s="47">
        <f t="shared" si="184"/>
        <v>0</v>
      </c>
    </row>
    <row r="1409" spans="6:33" ht="24" customHeight="1">
      <c r="G1409" s="38" t="s">
        <v>106</v>
      </c>
      <c r="H1409" s="26" t="s">
        <v>107</v>
      </c>
      <c r="I1409" s="26" t="s">
        <v>27</v>
      </c>
      <c r="J1409" s="26" t="s">
        <v>106</v>
      </c>
      <c r="K1409" s="40">
        <v>5</v>
      </c>
      <c r="M1409" s="107">
        <v>2.86</v>
      </c>
      <c r="N1409" s="38" t="s">
        <v>488</v>
      </c>
      <c r="O1409" s="26" t="s">
        <v>1582</v>
      </c>
      <c r="P1409" s="40">
        <f t="shared" ref="P1409:P1419" si="185">P1392</f>
        <v>287</v>
      </c>
      <c r="Q1409" s="38" t="s">
        <v>488</v>
      </c>
      <c r="R1409" s="40">
        <f t="shared" ref="R1409:R1419" si="186">P1409*M1409</f>
        <v>820.81999999999994</v>
      </c>
      <c r="S1409" s="76">
        <v>8</v>
      </c>
      <c r="T1409" s="38" t="s">
        <v>196</v>
      </c>
      <c r="U1409" s="26" t="s">
        <v>1595</v>
      </c>
      <c r="V1409" s="40">
        <f t="shared" si="182"/>
        <v>50.9</v>
      </c>
      <c r="W1409" s="38" t="s">
        <v>196</v>
      </c>
      <c r="X1409" s="40">
        <f t="shared" si="183"/>
        <v>407.2</v>
      </c>
      <c r="Y1409" s="40"/>
      <c r="Z1409" s="107">
        <v>2</v>
      </c>
      <c r="AA1409" s="38" t="s">
        <v>196</v>
      </c>
      <c r="AB1409" s="38"/>
      <c r="AC1409" s="26" t="s">
        <v>1599</v>
      </c>
      <c r="AD1409" s="40">
        <f t="shared" si="180"/>
        <v>20</v>
      </c>
      <c r="AE1409" s="38" t="s">
        <v>196</v>
      </c>
      <c r="AF1409" s="40">
        <f t="shared" si="181"/>
        <v>40</v>
      </c>
      <c r="AG1409" s="47">
        <f t="shared" si="184"/>
        <v>0</v>
      </c>
    </row>
    <row r="1410" spans="6:33" ht="24" customHeight="1">
      <c r="G1410" s="38"/>
      <c r="H1410" s="26"/>
      <c r="I1410" s="26"/>
      <c r="J1410" s="26"/>
      <c r="K1410" s="40"/>
      <c r="M1410" s="107">
        <v>6.55</v>
      </c>
      <c r="N1410" s="38" t="s">
        <v>488</v>
      </c>
      <c r="O1410" s="26" t="s">
        <v>1582</v>
      </c>
      <c r="P1410" s="40">
        <f t="shared" si="185"/>
        <v>287</v>
      </c>
      <c r="Q1410" s="38" t="s">
        <v>488</v>
      </c>
      <c r="R1410" s="40">
        <f t="shared" si="186"/>
        <v>1879.85</v>
      </c>
      <c r="S1410" s="76">
        <v>8</v>
      </c>
      <c r="T1410" s="38" t="s">
        <v>196</v>
      </c>
      <c r="U1410" s="26" t="s">
        <v>1598</v>
      </c>
      <c r="V1410" s="40">
        <f t="shared" si="182"/>
        <v>30</v>
      </c>
      <c r="W1410" s="38" t="s">
        <v>196</v>
      </c>
      <c r="X1410" s="40">
        <f t="shared" si="183"/>
        <v>240</v>
      </c>
      <c r="Y1410" s="40"/>
      <c r="Z1410" s="107">
        <v>2</v>
      </c>
      <c r="AA1410" s="38" t="s">
        <v>196</v>
      </c>
      <c r="AB1410" s="38"/>
      <c r="AC1410" s="26" t="s">
        <v>1601</v>
      </c>
      <c r="AD1410" s="40">
        <f t="shared" si="180"/>
        <v>15</v>
      </c>
      <c r="AE1410" s="38" t="s">
        <v>196</v>
      </c>
      <c r="AF1410" s="40">
        <f t="shared" si="181"/>
        <v>30</v>
      </c>
      <c r="AG1410" s="47">
        <f t="shared" si="184"/>
        <v>0</v>
      </c>
    </row>
    <row r="1411" spans="6:33" ht="24" customHeight="1">
      <c r="K1411" s="35" t="s">
        <v>48</v>
      </c>
      <c r="M1411" s="107">
        <v>1.1499999999999999</v>
      </c>
      <c r="N1411" s="38" t="s">
        <v>488</v>
      </c>
      <c r="O1411" s="26" t="s">
        <v>1582</v>
      </c>
      <c r="P1411" s="40">
        <f t="shared" si="185"/>
        <v>287</v>
      </c>
      <c r="Q1411" s="38" t="s">
        <v>488</v>
      </c>
      <c r="R1411" s="40">
        <f t="shared" si="186"/>
        <v>330.04999999999995</v>
      </c>
      <c r="S1411" s="76">
        <v>8</v>
      </c>
      <c r="T1411" s="38" t="s">
        <v>196</v>
      </c>
      <c r="U1411" s="26" t="s">
        <v>1599</v>
      </c>
      <c r="V1411" s="40">
        <f t="shared" si="182"/>
        <v>20</v>
      </c>
      <c r="W1411" s="38" t="s">
        <v>196</v>
      </c>
      <c r="X1411" s="40">
        <f t="shared" si="183"/>
        <v>160</v>
      </c>
      <c r="Y1411" s="40"/>
      <c r="Z1411" s="107">
        <v>0.54</v>
      </c>
      <c r="AA1411" s="38" t="s">
        <v>788</v>
      </c>
      <c r="AB1411" s="38"/>
      <c r="AC1411" s="26" t="s">
        <v>1602</v>
      </c>
      <c r="AD1411" s="40">
        <f t="shared" si="180"/>
        <v>2156</v>
      </c>
      <c r="AE1411" s="38" t="s">
        <v>788</v>
      </c>
      <c r="AF1411" s="40">
        <f t="shared" si="181"/>
        <v>1164.24</v>
      </c>
      <c r="AG1411" s="47">
        <f t="shared" si="184"/>
        <v>0</v>
      </c>
    </row>
    <row r="1412" spans="6:33" ht="24" customHeight="1">
      <c r="H1412" s="26" t="s">
        <v>401</v>
      </c>
      <c r="K1412" s="40">
        <f>SUM(K1405:K1409)</f>
        <v>2871.7296000000001</v>
      </c>
      <c r="L1412" s="28">
        <f>SUM(K1433:K1436)</f>
        <v>2964.1696000000002</v>
      </c>
      <c r="M1412" s="107">
        <v>1.3380000000000001</v>
      </c>
      <c r="N1412" s="38" t="s">
        <v>480</v>
      </c>
      <c r="O1412" s="26" t="s">
        <v>1588</v>
      </c>
      <c r="P1412" s="40">
        <f t="shared" si="185"/>
        <v>208.8</v>
      </c>
      <c r="Q1412" s="38" t="s">
        <v>480</v>
      </c>
      <c r="R1412" s="40">
        <f t="shared" si="186"/>
        <v>279.37440000000004</v>
      </c>
      <c r="S1412" s="76">
        <v>4</v>
      </c>
      <c r="T1412" s="38" t="s">
        <v>196</v>
      </c>
      <c r="U1412" s="26" t="s">
        <v>1601</v>
      </c>
      <c r="V1412" s="40">
        <f t="shared" si="182"/>
        <v>15</v>
      </c>
      <c r="W1412" s="38" t="s">
        <v>196</v>
      </c>
      <c r="X1412" s="40">
        <f t="shared" si="183"/>
        <v>60</v>
      </c>
      <c r="Y1412" s="40"/>
      <c r="AA1412" s="29"/>
      <c r="AB1412" s="29"/>
      <c r="AC1412" s="26" t="s">
        <v>1604</v>
      </c>
      <c r="AE1412" s="33"/>
      <c r="AF1412" s="40">
        <v>0.7</v>
      </c>
      <c r="AG1412" s="47">
        <f t="shared" si="184"/>
        <v>0</v>
      </c>
    </row>
    <row r="1413" spans="6:33" ht="24" customHeight="1">
      <c r="K1413" s="35" t="s">
        <v>48</v>
      </c>
      <c r="M1413" s="107">
        <v>9.2720000000000002</v>
      </c>
      <c r="N1413" s="38" t="s">
        <v>1125</v>
      </c>
      <c r="O1413" s="96" t="s">
        <v>1629</v>
      </c>
      <c r="P1413" s="40">
        <f t="shared" si="185"/>
        <v>28.6</v>
      </c>
      <c r="Q1413" s="38" t="s">
        <v>1125</v>
      </c>
      <c r="R1413" s="40">
        <f t="shared" si="186"/>
        <v>265.17920000000004</v>
      </c>
      <c r="S1413" s="76">
        <v>3.96</v>
      </c>
      <c r="T1413" s="38" t="s">
        <v>788</v>
      </c>
      <c r="U1413" s="26" t="s">
        <v>1602</v>
      </c>
      <c r="V1413" s="40">
        <f t="shared" si="182"/>
        <v>2156</v>
      </c>
      <c r="W1413" s="38" t="s">
        <v>788</v>
      </c>
      <c r="X1413" s="40">
        <f t="shared" si="183"/>
        <v>8537.76</v>
      </c>
      <c r="Y1413" s="40"/>
      <c r="AC1413" s="37" t="s">
        <v>1606</v>
      </c>
      <c r="AF1413" s="39">
        <f>SUM(AF1400:AF1412)</f>
        <v>3597.0851999999995</v>
      </c>
      <c r="AG1413" s="47">
        <f t="shared" si="184"/>
        <v>0</v>
      </c>
    </row>
    <row r="1414" spans="6:33" ht="24" customHeight="1">
      <c r="H1414" s="42" t="s">
        <v>403</v>
      </c>
      <c r="K1414" s="39">
        <f>(K1412/10)</f>
        <v>287.17295999999999</v>
      </c>
      <c r="M1414" s="107">
        <v>8</v>
      </c>
      <c r="N1414" s="38" t="s">
        <v>196</v>
      </c>
      <c r="O1414" s="96" t="s">
        <v>1630</v>
      </c>
      <c r="P1414" s="40">
        <f t="shared" si="185"/>
        <v>63.5</v>
      </c>
      <c r="Q1414" s="38" t="s">
        <v>196</v>
      </c>
      <c r="R1414" s="40">
        <f t="shared" si="186"/>
        <v>508</v>
      </c>
      <c r="T1414" s="29"/>
      <c r="U1414" s="26" t="s">
        <v>1604</v>
      </c>
      <c r="W1414" s="33"/>
      <c r="X1414" s="40">
        <v>0.09</v>
      </c>
      <c r="Y1414" s="40"/>
      <c r="AG1414" s="47">
        <f t="shared" si="184"/>
        <v>0</v>
      </c>
    </row>
    <row r="1415" spans="6:33" ht="24" customHeight="1">
      <c r="K1415" s="35" t="s">
        <v>41</v>
      </c>
      <c r="M1415" s="107">
        <v>4</v>
      </c>
      <c r="N1415" s="38" t="s">
        <v>196</v>
      </c>
      <c r="O1415" s="96" t="s">
        <v>1621</v>
      </c>
      <c r="P1415" s="40">
        <f t="shared" si="185"/>
        <v>50.9</v>
      </c>
      <c r="Q1415" s="38" t="s">
        <v>196</v>
      </c>
      <c r="R1415" s="40">
        <f t="shared" si="186"/>
        <v>203.6</v>
      </c>
      <c r="U1415" s="37" t="s">
        <v>1606</v>
      </c>
      <c r="X1415" s="39">
        <f>SUM(X1402:X1414)</f>
        <v>21688.925599999999</v>
      </c>
      <c r="Y1415" s="39"/>
      <c r="AG1415" s="47">
        <f t="shared" si="184"/>
        <v>0</v>
      </c>
    </row>
    <row r="1416" spans="6:33" ht="24" customHeight="1">
      <c r="F1416" s="27" t="s">
        <v>1631</v>
      </c>
      <c r="G1416" s="38" t="s">
        <v>67</v>
      </c>
      <c r="H1416" s="26" t="s">
        <v>1632</v>
      </c>
      <c r="M1416" s="107">
        <v>4</v>
      </c>
      <c r="N1416" s="38" t="s">
        <v>196</v>
      </c>
      <c r="O1416" s="26" t="s">
        <v>1598</v>
      </c>
      <c r="P1416" s="40">
        <f t="shared" si="185"/>
        <v>30</v>
      </c>
      <c r="Q1416" s="38" t="s">
        <v>196</v>
      </c>
      <c r="R1416" s="40">
        <f t="shared" si="186"/>
        <v>120</v>
      </c>
      <c r="AA1416" s="29"/>
      <c r="AB1416" s="29"/>
      <c r="AC1416" s="184" t="s">
        <v>1633</v>
      </c>
      <c r="AE1416" s="31"/>
      <c r="AG1416" s="47">
        <f t="shared" si="184"/>
        <v>0</v>
      </c>
    </row>
    <row r="1417" spans="6:33" ht="24" customHeight="1">
      <c r="H1417" s="35" t="s">
        <v>48</v>
      </c>
      <c r="M1417" s="107">
        <v>4</v>
      </c>
      <c r="N1417" s="38" t="s">
        <v>196</v>
      </c>
      <c r="O1417" s="26" t="s">
        <v>1599</v>
      </c>
      <c r="P1417" s="40">
        <f t="shared" si="185"/>
        <v>20</v>
      </c>
      <c r="Q1417" s="38" t="s">
        <v>196</v>
      </c>
      <c r="R1417" s="40">
        <f t="shared" si="186"/>
        <v>80</v>
      </c>
      <c r="Z1417" s="107">
        <f>4.2*0.775</f>
        <v>3.2550000000000003</v>
      </c>
      <c r="AA1417" s="38" t="s">
        <v>488</v>
      </c>
      <c r="AB1417" s="38"/>
      <c r="AC1417" s="26" t="s">
        <v>1582</v>
      </c>
      <c r="AD1417" s="40">
        <f>AD1400</f>
        <v>287</v>
      </c>
      <c r="AE1417" s="38" t="s">
        <v>488</v>
      </c>
      <c r="AF1417" s="40">
        <f t="shared" ref="AF1417:AF1428" si="187">AD1417*Z1417</f>
        <v>934.18500000000006</v>
      </c>
      <c r="AG1417" s="47">
        <f t="shared" si="184"/>
        <v>0</v>
      </c>
    </row>
    <row r="1418" spans="6:33" ht="24" customHeight="1">
      <c r="F1418" s="40">
        <v>0.1</v>
      </c>
      <c r="G1418" s="38" t="s">
        <v>93</v>
      </c>
      <c r="H1418" s="26" t="s">
        <v>176</v>
      </c>
      <c r="I1418" s="40">
        <f>(K32)</f>
        <v>5671.64</v>
      </c>
      <c r="J1418" s="26" t="s">
        <v>93</v>
      </c>
      <c r="K1418" s="40">
        <f>(F1418*I1418)</f>
        <v>567.1640000000001</v>
      </c>
      <c r="M1418" s="107">
        <v>4</v>
      </c>
      <c r="N1418" s="38" t="s">
        <v>196</v>
      </c>
      <c r="O1418" s="26" t="s">
        <v>1601</v>
      </c>
      <c r="P1418" s="40">
        <f t="shared" si="185"/>
        <v>15</v>
      </c>
      <c r="Q1418" s="38" t="s">
        <v>196</v>
      </c>
      <c r="R1418" s="40">
        <f t="shared" si="186"/>
        <v>60</v>
      </c>
      <c r="U1418" s="41" t="s">
        <v>1634</v>
      </c>
      <c r="Z1418" s="107">
        <v>2.3580000000000001</v>
      </c>
      <c r="AA1418" s="38" t="s">
        <v>488</v>
      </c>
      <c r="AB1418" s="38"/>
      <c r="AC1418" s="26" t="s">
        <v>1582</v>
      </c>
      <c r="AD1418" s="40">
        <f t="shared" ref="AD1418:AD1428" si="188">AD1401</f>
        <v>287</v>
      </c>
      <c r="AE1418" s="38" t="s">
        <v>488</v>
      </c>
      <c r="AF1418" s="40">
        <f t="shared" si="187"/>
        <v>676.74599999999998</v>
      </c>
      <c r="AG1418" s="47">
        <f t="shared" si="184"/>
        <v>0</v>
      </c>
    </row>
    <row r="1419" spans="6:33" ht="24" customHeight="1">
      <c r="F1419" s="40">
        <v>1.1000000000000001</v>
      </c>
      <c r="G1419" s="38" t="s">
        <v>105</v>
      </c>
      <c r="H1419" s="26" t="s">
        <v>298</v>
      </c>
      <c r="I1419" s="40">
        <f>(C10)</f>
        <v>1076.5999999999999</v>
      </c>
      <c r="J1419" s="26" t="s">
        <v>105</v>
      </c>
      <c r="K1419" s="40">
        <f>(F1419*I1419)</f>
        <v>1184.26</v>
      </c>
      <c r="L1419" s="28">
        <f>M1458+M1459+M1460</f>
        <v>11.742000000000001</v>
      </c>
      <c r="M1419" s="107">
        <v>1.62</v>
      </c>
      <c r="N1419" s="38" t="s">
        <v>788</v>
      </c>
      <c r="O1419" s="26" t="s">
        <v>1602</v>
      </c>
      <c r="P1419" s="40">
        <f t="shared" si="185"/>
        <v>2156</v>
      </c>
      <c r="Q1419" s="38" t="s">
        <v>788</v>
      </c>
      <c r="R1419" s="40">
        <f t="shared" si="186"/>
        <v>3492.7200000000003</v>
      </c>
      <c r="S1419" s="76">
        <v>4.42</v>
      </c>
      <c r="T1419" s="38" t="s">
        <v>488</v>
      </c>
      <c r="U1419" s="26" t="s">
        <v>1582</v>
      </c>
      <c r="V1419" s="40">
        <f>P1458</f>
        <v>287</v>
      </c>
      <c r="W1419" s="38" t="s">
        <v>488</v>
      </c>
      <c r="X1419" s="47">
        <f>V1419*S1419</f>
        <v>1268.54</v>
      </c>
      <c r="Y1419" s="47"/>
      <c r="Z1419" s="107">
        <f>8.08*0.663</f>
        <v>5.3570400000000005</v>
      </c>
      <c r="AA1419" s="38" t="s">
        <v>488</v>
      </c>
      <c r="AB1419" s="38"/>
      <c r="AC1419" s="26" t="s">
        <v>1582</v>
      </c>
      <c r="AD1419" s="40">
        <f t="shared" si="188"/>
        <v>287</v>
      </c>
      <c r="AE1419" s="38" t="s">
        <v>488</v>
      </c>
      <c r="AF1419" s="40">
        <f t="shared" si="187"/>
        <v>1537.4704800000002</v>
      </c>
      <c r="AG1419" s="47">
        <f t="shared" si="184"/>
        <v>0</v>
      </c>
    </row>
    <row r="1420" spans="6:33" ht="24" customHeight="1">
      <c r="F1420" s="40">
        <v>1.1000000000000001</v>
      </c>
      <c r="G1420" s="38" t="s">
        <v>105</v>
      </c>
      <c r="H1420" s="26" t="s">
        <v>271</v>
      </c>
      <c r="I1420" s="40">
        <f>(C12)</f>
        <v>702.8</v>
      </c>
      <c r="J1420" s="26" t="s">
        <v>105</v>
      </c>
      <c r="K1420" s="40">
        <f>(F1420*I1420)</f>
        <v>773.08</v>
      </c>
      <c r="N1420" s="29"/>
      <c r="O1420" s="26" t="s">
        <v>1604</v>
      </c>
      <c r="Q1420" s="33"/>
      <c r="R1420" s="40">
        <v>0.25</v>
      </c>
      <c r="S1420" s="76">
        <v>4.72</v>
      </c>
      <c r="T1420" s="38" t="s">
        <v>488</v>
      </c>
      <c r="U1420" s="26" t="s">
        <v>1582</v>
      </c>
      <c r="V1420" s="40">
        <f>P1459</f>
        <v>287</v>
      </c>
      <c r="W1420" s="38" t="s">
        <v>488</v>
      </c>
      <c r="X1420" s="47">
        <f t="shared" ref="X1420:X1430" si="189">V1420*S1420</f>
        <v>1354.6399999999999</v>
      </c>
      <c r="Y1420" s="47"/>
      <c r="Z1420" s="107">
        <v>0.92600000000000005</v>
      </c>
      <c r="AA1420" s="38" t="s">
        <v>488</v>
      </c>
      <c r="AB1420" s="38"/>
      <c r="AC1420" s="26" t="s">
        <v>1582</v>
      </c>
      <c r="AD1420" s="40">
        <f t="shared" si="188"/>
        <v>287</v>
      </c>
      <c r="AE1420" s="38" t="s">
        <v>488</v>
      </c>
      <c r="AF1420" s="40">
        <f t="shared" si="187"/>
        <v>265.762</v>
      </c>
      <c r="AG1420" s="47">
        <f t="shared" si="184"/>
        <v>0</v>
      </c>
    </row>
    <row r="1421" spans="6:33" ht="24" customHeight="1">
      <c r="F1421" s="40">
        <v>1.1000000000000001</v>
      </c>
      <c r="G1421" s="38" t="s">
        <v>105</v>
      </c>
      <c r="H1421" s="26" t="s">
        <v>276</v>
      </c>
      <c r="I1421" s="40">
        <f>(C13)</f>
        <v>576.79999999999995</v>
      </c>
      <c r="J1421" s="26" t="s">
        <v>105</v>
      </c>
      <c r="K1421" s="40">
        <f>(F1421*I1421)</f>
        <v>634.48</v>
      </c>
      <c r="R1421" s="39">
        <f>SUM(R1408:R1420)</f>
        <v>9173.4936000000016</v>
      </c>
      <c r="S1421" s="76">
        <v>9.06</v>
      </c>
      <c r="T1421" s="38" t="s">
        <v>488</v>
      </c>
      <c r="U1421" s="26" t="s">
        <v>1582</v>
      </c>
      <c r="V1421" s="40">
        <f>P1460</f>
        <v>287</v>
      </c>
      <c r="W1421" s="38" t="s">
        <v>488</v>
      </c>
      <c r="X1421" s="47">
        <f t="shared" si="189"/>
        <v>2600.2200000000003</v>
      </c>
      <c r="Y1421" s="47"/>
      <c r="Z1421" s="107">
        <v>0.85</v>
      </c>
      <c r="AA1421" s="38" t="s">
        <v>480</v>
      </c>
      <c r="AB1421" s="38"/>
      <c r="AC1421" s="26" t="s">
        <v>1588</v>
      </c>
      <c r="AD1421" s="40">
        <f t="shared" si="188"/>
        <v>208.8</v>
      </c>
      <c r="AE1421" s="38" t="s">
        <v>480</v>
      </c>
      <c r="AF1421" s="40">
        <f t="shared" si="187"/>
        <v>177.48000000000002</v>
      </c>
      <c r="AG1421" s="47">
        <f t="shared" si="184"/>
        <v>0</v>
      </c>
    </row>
    <row r="1422" spans="6:33" ht="24" customHeight="1">
      <c r="G1422" s="38" t="s">
        <v>106</v>
      </c>
      <c r="H1422" s="26" t="s">
        <v>107</v>
      </c>
      <c r="I1422" s="26" t="s">
        <v>27</v>
      </c>
      <c r="J1422" s="26" t="s">
        <v>106</v>
      </c>
      <c r="K1422" s="40">
        <v>5</v>
      </c>
      <c r="M1422" s="40"/>
      <c r="N1422" s="38"/>
      <c r="O1422" s="26"/>
      <c r="P1422" s="40"/>
      <c r="Q1422" s="27"/>
      <c r="R1422" s="40"/>
      <c r="S1422" s="76">
        <v>1.58</v>
      </c>
      <c r="T1422" s="38" t="s">
        <v>488</v>
      </c>
      <c r="U1422" s="26" t="s">
        <v>1582</v>
      </c>
      <c r="V1422" s="40">
        <f>P1461</f>
        <v>287</v>
      </c>
      <c r="W1422" s="38" t="s">
        <v>488</v>
      </c>
      <c r="X1422" s="47">
        <f t="shared" si="189"/>
        <v>453.46000000000004</v>
      </c>
      <c r="Y1422" s="47"/>
      <c r="Z1422" s="107">
        <v>7.4720000000000004</v>
      </c>
      <c r="AA1422" s="38" t="s">
        <v>1125</v>
      </c>
      <c r="AB1422" s="38"/>
      <c r="AC1422" s="26" t="s">
        <v>1591</v>
      </c>
      <c r="AD1422" s="40">
        <f t="shared" si="188"/>
        <v>28.6</v>
      </c>
      <c r="AE1422" s="38" t="s">
        <v>1125</v>
      </c>
      <c r="AF1422" s="40">
        <f t="shared" si="187"/>
        <v>213.69920000000002</v>
      </c>
      <c r="AG1422" s="47">
        <f t="shared" si="184"/>
        <v>0</v>
      </c>
    </row>
    <row r="1423" spans="6:33" ht="24" customHeight="1">
      <c r="K1423" s="35" t="s">
        <v>48</v>
      </c>
      <c r="M1423" s="40"/>
      <c r="N1423" s="38"/>
      <c r="O1423" s="26"/>
      <c r="P1423" s="40"/>
      <c r="Q1423" s="27"/>
      <c r="R1423" s="40"/>
      <c r="S1423" s="76">
        <v>1.65</v>
      </c>
      <c r="T1423" s="38" t="s">
        <v>480</v>
      </c>
      <c r="U1423" s="26" t="s">
        <v>1588</v>
      </c>
      <c r="V1423" s="40">
        <f>P1429</f>
        <v>208.8</v>
      </c>
      <c r="W1423" s="38" t="s">
        <v>480</v>
      </c>
      <c r="X1423" s="47">
        <f t="shared" si="189"/>
        <v>344.52</v>
      </c>
      <c r="Y1423" s="47"/>
      <c r="Z1423" s="107">
        <v>8</v>
      </c>
      <c r="AA1423" s="38" t="s">
        <v>196</v>
      </c>
      <c r="AB1423" s="38"/>
      <c r="AC1423" s="26" t="s">
        <v>1593</v>
      </c>
      <c r="AD1423" s="40">
        <f t="shared" si="188"/>
        <v>63.5</v>
      </c>
      <c r="AE1423" s="38" t="s">
        <v>196</v>
      </c>
      <c r="AF1423" s="40">
        <f t="shared" si="187"/>
        <v>508</v>
      </c>
      <c r="AG1423" s="47">
        <f t="shared" si="184"/>
        <v>0</v>
      </c>
    </row>
    <row r="1424" spans="6:33" ht="24" customHeight="1">
      <c r="H1424" s="26" t="s">
        <v>401</v>
      </c>
      <c r="K1424" s="40">
        <f>SUM(K1418:K1422)</f>
        <v>3163.9839999999999</v>
      </c>
      <c r="N1424" s="29"/>
      <c r="O1424" s="184" t="s">
        <v>1635</v>
      </c>
      <c r="Q1424" s="31"/>
      <c r="S1424" s="76">
        <v>12.74</v>
      </c>
      <c r="T1424" s="38" t="s">
        <v>1125</v>
      </c>
      <c r="U1424" s="26" t="s">
        <v>1591</v>
      </c>
      <c r="V1424" s="40">
        <f>P1463</f>
        <v>28.6</v>
      </c>
      <c r="W1424" s="38" t="s">
        <v>1125</v>
      </c>
      <c r="X1424" s="47">
        <f t="shared" si="189"/>
        <v>364.36400000000003</v>
      </c>
      <c r="Y1424" s="47"/>
      <c r="Z1424" s="107">
        <v>4</v>
      </c>
      <c r="AA1424" s="38" t="s">
        <v>196</v>
      </c>
      <c r="AB1424" s="38"/>
      <c r="AC1424" s="26" t="s">
        <v>1595</v>
      </c>
      <c r="AD1424" s="40">
        <f t="shared" si="188"/>
        <v>50.9</v>
      </c>
      <c r="AE1424" s="38" t="s">
        <v>196</v>
      </c>
      <c r="AF1424" s="40">
        <f t="shared" si="187"/>
        <v>203.6</v>
      </c>
      <c r="AG1424" s="47">
        <f t="shared" si="184"/>
        <v>0</v>
      </c>
    </row>
    <row r="1425" spans="6:33" ht="24" customHeight="1">
      <c r="H1425" s="33"/>
      <c r="K1425" s="35" t="s">
        <v>48</v>
      </c>
      <c r="M1425" s="107">
        <v>2.79</v>
      </c>
      <c r="N1425" s="38" t="s">
        <v>488</v>
      </c>
      <c r="O1425" s="96" t="s">
        <v>1628</v>
      </c>
      <c r="P1425" s="40">
        <f>P1408</f>
        <v>287</v>
      </c>
      <c r="Q1425" s="38" t="s">
        <v>488</v>
      </c>
      <c r="R1425" s="40">
        <f>P1425*M1425</f>
        <v>800.73</v>
      </c>
      <c r="S1425" s="76">
        <v>12</v>
      </c>
      <c r="T1425" s="38" t="s">
        <v>196</v>
      </c>
      <c r="U1425" s="26" t="s">
        <v>1593</v>
      </c>
      <c r="V1425" s="40">
        <f>P1464</f>
        <v>63.5</v>
      </c>
      <c r="W1425" s="38" t="s">
        <v>196</v>
      </c>
      <c r="X1425" s="47">
        <f t="shared" si="189"/>
        <v>762</v>
      </c>
      <c r="Y1425" s="47"/>
      <c r="Z1425" s="107">
        <v>4</v>
      </c>
      <c r="AA1425" s="38" t="s">
        <v>196</v>
      </c>
      <c r="AB1425" s="38"/>
      <c r="AC1425" s="26" t="s">
        <v>1598</v>
      </c>
      <c r="AD1425" s="40">
        <f t="shared" si="188"/>
        <v>30</v>
      </c>
      <c r="AE1425" s="38" t="s">
        <v>196</v>
      </c>
      <c r="AF1425" s="40">
        <f t="shared" si="187"/>
        <v>120</v>
      </c>
      <c r="AG1425" s="47">
        <f t="shared" si="184"/>
        <v>0</v>
      </c>
    </row>
    <row r="1426" spans="6:33" ht="24" customHeight="1">
      <c r="H1426" s="42" t="s">
        <v>403</v>
      </c>
      <c r="I1426" s="41"/>
      <c r="J1426" s="86"/>
      <c r="K1426" s="39">
        <f>(K1424/10)</f>
        <v>316.39839999999998</v>
      </c>
      <c r="M1426" s="107">
        <v>0.5</v>
      </c>
      <c r="N1426" s="38" t="s">
        <v>488</v>
      </c>
      <c r="O1426" s="26" t="s">
        <v>1582</v>
      </c>
      <c r="P1426" s="40">
        <f t="shared" ref="P1426:P1436" si="190">P1409</f>
        <v>287</v>
      </c>
      <c r="Q1426" s="38" t="s">
        <v>488</v>
      </c>
      <c r="R1426" s="40">
        <f t="shared" ref="R1426:R1436" si="191">P1426*M1426</f>
        <v>143.5</v>
      </c>
      <c r="S1426" s="76">
        <v>6</v>
      </c>
      <c r="T1426" s="38" t="s">
        <v>196</v>
      </c>
      <c r="U1426" s="26" t="s">
        <v>1595</v>
      </c>
      <c r="V1426" s="40">
        <f>P1465</f>
        <v>50.9</v>
      </c>
      <c r="W1426" s="38" t="s">
        <v>196</v>
      </c>
      <c r="X1426" s="47">
        <f t="shared" si="189"/>
        <v>305.39999999999998</v>
      </c>
      <c r="Y1426" s="47"/>
      <c r="Z1426" s="107">
        <v>4</v>
      </c>
      <c r="AA1426" s="38" t="s">
        <v>196</v>
      </c>
      <c r="AB1426" s="38"/>
      <c r="AC1426" s="26" t="s">
        <v>1599</v>
      </c>
      <c r="AD1426" s="40">
        <f t="shared" si="188"/>
        <v>20</v>
      </c>
      <c r="AE1426" s="38" t="s">
        <v>196</v>
      </c>
      <c r="AF1426" s="40">
        <f t="shared" si="187"/>
        <v>80</v>
      </c>
      <c r="AG1426" s="47">
        <f t="shared" si="184"/>
        <v>0</v>
      </c>
    </row>
    <row r="1427" spans="6:33" ht="24" customHeight="1">
      <c r="K1427" s="35" t="s">
        <v>41</v>
      </c>
      <c r="M1427" s="107">
        <v>2.85</v>
      </c>
      <c r="N1427" s="38" t="s">
        <v>488</v>
      </c>
      <c r="O1427" s="26" t="s">
        <v>1582</v>
      </c>
      <c r="P1427" s="40">
        <f t="shared" si="190"/>
        <v>287</v>
      </c>
      <c r="Q1427" s="38" t="s">
        <v>488</v>
      </c>
      <c r="R1427" s="40">
        <f t="shared" si="191"/>
        <v>817.95</v>
      </c>
      <c r="S1427" s="76">
        <v>6</v>
      </c>
      <c r="T1427" s="38" t="s">
        <v>196</v>
      </c>
      <c r="U1427" s="26" t="s">
        <v>1598</v>
      </c>
      <c r="V1427" s="40">
        <v>30</v>
      </c>
      <c r="W1427" s="38" t="s">
        <v>196</v>
      </c>
      <c r="X1427" s="47">
        <f t="shared" si="189"/>
        <v>180</v>
      </c>
      <c r="Y1427" s="47"/>
      <c r="Z1427" s="107">
        <v>4</v>
      </c>
      <c r="AA1427" s="38" t="s">
        <v>196</v>
      </c>
      <c r="AB1427" s="38"/>
      <c r="AC1427" s="26" t="s">
        <v>1601</v>
      </c>
      <c r="AD1427" s="40">
        <f t="shared" si="188"/>
        <v>15</v>
      </c>
      <c r="AE1427" s="38" t="s">
        <v>196</v>
      </c>
      <c r="AF1427" s="40">
        <f t="shared" si="187"/>
        <v>60</v>
      </c>
      <c r="AG1427" s="47">
        <f t="shared" si="184"/>
        <v>0</v>
      </c>
    </row>
    <row r="1428" spans="6:33" ht="24" customHeight="1">
      <c r="M1428" s="107">
        <v>0.5</v>
      </c>
      <c r="N1428" s="38" t="s">
        <v>488</v>
      </c>
      <c r="O1428" s="26" t="s">
        <v>1582</v>
      </c>
      <c r="P1428" s="40">
        <f t="shared" si="190"/>
        <v>287</v>
      </c>
      <c r="Q1428" s="38" t="s">
        <v>488</v>
      </c>
      <c r="R1428" s="40">
        <f t="shared" si="191"/>
        <v>143.5</v>
      </c>
      <c r="S1428" s="76">
        <v>6</v>
      </c>
      <c r="T1428" s="38" t="s">
        <v>196</v>
      </c>
      <c r="U1428" s="26" t="s">
        <v>1599</v>
      </c>
      <c r="V1428" s="40">
        <v>20</v>
      </c>
      <c r="W1428" s="38" t="s">
        <v>196</v>
      </c>
      <c r="X1428" s="47">
        <f t="shared" si="189"/>
        <v>120</v>
      </c>
      <c r="Y1428" s="47"/>
      <c r="Z1428" s="107">
        <v>1.08</v>
      </c>
      <c r="AA1428" s="38" t="s">
        <v>788</v>
      </c>
      <c r="AB1428" s="38"/>
      <c r="AC1428" s="26" t="s">
        <v>1602</v>
      </c>
      <c r="AD1428" s="40">
        <f t="shared" si="188"/>
        <v>2156</v>
      </c>
      <c r="AE1428" s="38" t="s">
        <v>788</v>
      </c>
      <c r="AF1428" s="40">
        <f t="shared" si="187"/>
        <v>2328.48</v>
      </c>
      <c r="AG1428" s="47">
        <f t="shared" si="184"/>
        <v>0</v>
      </c>
    </row>
    <row r="1429" spans="6:33" ht="24" customHeight="1">
      <c r="G1429" s="38" t="s">
        <v>67</v>
      </c>
      <c r="H1429" s="26" t="s">
        <v>1636</v>
      </c>
      <c r="M1429" s="107">
        <v>0.47099999999999997</v>
      </c>
      <c r="N1429" s="38" t="s">
        <v>480</v>
      </c>
      <c r="O1429" s="26" t="s">
        <v>1588</v>
      </c>
      <c r="P1429" s="73">
        <f t="shared" si="190"/>
        <v>208.8</v>
      </c>
      <c r="Q1429" s="38" t="s">
        <v>480</v>
      </c>
      <c r="R1429" s="40">
        <f t="shared" si="191"/>
        <v>98.344800000000006</v>
      </c>
      <c r="S1429" s="76">
        <v>4</v>
      </c>
      <c r="T1429" s="38" t="s">
        <v>196</v>
      </c>
      <c r="U1429" s="26" t="s">
        <v>1601</v>
      </c>
      <c r="V1429" s="40">
        <v>15</v>
      </c>
      <c r="W1429" s="38" t="s">
        <v>196</v>
      </c>
      <c r="X1429" s="47">
        <f t="shared" si="189"/>
        <v>60</v>
      </c>
      <c r="Y1429" s="47"/>
      <c r="AA1429" s="29"/>
      <c r="AB1429" s="29"/>
      <c r="AC1429" s="26" t="s">
        <v>1604</v>
      </c>
      <c r="AE1429" s="33"/>
      <c r="AF1429" s="40">
        <v>0.96</v>
      </c>
      <c r="AG1429" s="47">
        <f t="shared" si="184"/>
        <v>0</v>
      </c>
    </row>
    <row r="1430" spans="6:33" ht="24" customHeight="1">
      <c r="H1430" s="26" t="s">
        <v>1637</v>
      </c>
      <c r="M1430" s="107">
        <v>3.996</v>
      </c>
      <c r="N1430" s="38" t="s">
        <v>1125</v>
      </c>
      <c r="O1430" s="96" t="s">
        <v>1629</v>
      </c>
      <c r="P1430" s="40">
        <f t="shared" si="190"/>
        <v>28.6</v>
      </c>
      <c r="Q1430" s="38" t="s">
        <v>1125</v>
      </c>
      <c r="R1430" s="40">
        <f t="shared" si="191"/>
        <v>114.2856</v>
      </c>
      <c r="S1430" s="76">
        <f>1.5*1.35</f>
        <v>2.0250000000000004</v>
      </c>
      <c r="T1430" s="38" t="s">
        <v>788</v>
      </c>
      <c r="U1430" s="26" t="s">
        <v>1602</v>
      </c>
      <c r="V1430" s="40">
        <f>P1469</f>
        <v>2156</v>
      </c>
      <c r="W1430" s="38" t="s">
        <v>788</v>
      </c>
      <c r="X1430" s="40">
        <f t="shared" si="189"/>
        <v>4365.9000000000005</v>
      </c>
      <c r="Y1430" s="40"/>
      <c r="AC1430" s="37" t="s">
        <v>1606</v>
      </c>
      <c r="AF1430" s="39">
        <f>SUM(AF1417:AF1429)</f>
        <v>7106.3826800000015</v>
      </c>
      <c r="AG1430" s="47">
        <f t="shared" si="184"/>
        <v>0</v>
      </c>
    </row>
    <row r="1431" spans="6:33" ht="24" customHeight="1">
      <c r="H1431" s="26" t="s">
        <v>1638</v>
      </c>
      <c r="M1431" s="107">
        <v>4</v>
      </c>
      <c r="N1431" s="38" t="s">
        <v>196</v>
      </c>
      <c r="O1431" s="96" t="s">
        <v>1630</v>
      </c>
      <c r="P1431" s="40">
        <f t="shared" si="190"/>
        <v>63.5</v>
      </c>
      <c r="Q1431" s="38" t="s">
        <v>196</v>
      </c>
      <c r="R1431" s="40">
        <f t="shared" si="191"/>
        <v>254</v>
      </c>
      <c r="T1431" s="29"/>
      <c r="U1431" s="26" t="s">
        <v>1604</v>
      </c>
      <c r="W1431" s="33"/>
      <c r="X1431" s="40">
        <v>0.31</v>
      </c>
      <c r="Y1431" s="40"/>
      <c r="AG1431" s="47">
        <f t="shared" si="184"/>
        <v>0</v>
      </c>
    </row>
    <row r="1432" spans="6:33" ht="24" customHeight="1">
      <c r="H1432" s="35" t="s">
        <v>48</v>
      </c>
      <c r="M1432" s="107">
        <v>2</v>
      </c>
      <c r="N1432" s="38" t="s">
        <v>196</v>
      </c>
      <c r="O1432" s="96" t="s">
        <v>1621</v>
      </c>
      <c r="P1432" s="40">
        <f t="shared" si="190"/>
        <v>50.9</v>
      </c>
      <c r="Q1432" s="38" t="s">
        <v>196</v>
      </c>
      <c r="R1432" s="40">
        <f t="shared" si="191"/>
        <v>101.8</v>
      </c>
      <c r="U1432" s="37" t="s">
        <v>1606</v>
      </c>
      <c r="X1432" s="39">
        <f>SUM(X1419:X1431)</f>
        <v>12179.353999999998</v>
      </c>
      <c r="Y1432" s="39"/>
      <c r="AG1432" s="47">
        <f t="shared" si="184"/>
        <v>0</v>
      </c>
    </row>
    <row r="1433" spans="6:33" ht="24" customHeight="1">
      <c r="F1433" s="40">
        <v>0.14000000000000001</v>
      </c>
      <c r="G1433" s="38" t="s">
        <v>93</v>
      </c>
      <c r="H1433" s="26" t="s">
        <v>176</v>
      </c>
      <c r="I1433" s="40">
        <f>(K32)</f>
        <v>5671.64</v>
      </c>
      <c r="J1433" s="26" t="s">
        <v>93</v>
      </c>
      <c r="K1433" s="40">
        <f>(F1433*I1433)</f>
        <v>794.02960000000007</v>
      </c>
      <c r="M1433" s="107">
        <v>2</v>
      </c>
      <c r="N1433" s="38" t="s">
        <v>196</v>
      </c>
      <c r="O1433" s="26" t="s">
        <v>1598</v>
      </c>
      <c r="P1433" s="40">
        <f t="shared" si="190"/>
        <v>30</v>
      </c>
      <c r="Q1433" s="38" t="s">
        <v>196</v>
      </c>
      <c r="R1433" s="40">
        <f t="shared" si="191"/>
        <v>60</v>
      </c>
      <c r="U1433" s="28">
        <f>2.025</f>
        <v>2.0249999999999999</v>
      </c>
      <c r="Z1433" s="32"/>
      <c r="AA1433" s="29"/>
      <c r="AB1433" s="29"/>
      <c r="AC1433" s="184" t="s">
        <v>1639</v>
      </c>
      <c r="AD1433" s="101" t="s">
        <v>1640</v>
      </c>
      <c r="AE1433" s="101"/>
      <c r="AF1433" s="101"/>
      <c r="AG1433" s="47">
        <f t="shared" si="184"/>
        <v>0</v>
      </c>
    </row>
    <row r="1434" spans="6:33" ht="24" customHeight="1">
      <c r="F1434" s="40">
        <v>1.1000000000000001</v>
      </c>
      <c r="G1434" s="38" t="s">
        <v>105</v>
      </c>
      <c r="H1434" s="26" t="s">
        <v>298</v>
      </c>
      <c r="I1434" s="40">
        <f>(C10)</f>
        <v>1076.5999999999999</v>
      </c>
      <c r="J1434" s="26" t="s">
        <v>105</v>
      </c>
      <c r="K1434" s="40">
        <f>(F1434*I1434)</f>
        <v>1184.26</v>
      </c>
      <c r="M1434" s="107">
        <v>2</v>
      </c>
      <c r="N1434" s="38" t="s">
        <v>196</v>
      </c>
      <c r="O1434" s="26" t="s">
        <v>1599</v>
      </c>
      <c r="P1434" s="40">
        <f t="shared" si="190"/>
        <v>20</v>
      </c>
      <c r="Q1434" s="38" t="s">
        <v>196</v>
      </c>
      <c r="R1434" s="40">
        <f t="shared" si="191"/>
        <v>40</v>
      </c>
      <c r="Z1434" s="76">
        <v>4.21</v>
      </c>
      <c r="AA1434" s="38" t="s">
        <v>488</v>
      </c>
      <c r="AB1434" s="38"/>
      <c r="AC1434" s="26" t="s">
        <v>1582</v>
      </c>
      <c r="AD1434" s="40">
        <f>V1436</f>
        <v>287</v>
      </c>
      <c r="AE1434" s="38" t="s">
        <v>488</v>
      </c>
      <c r="AF1434" s="40">
        <f>AD1434*Z1434</f>
        <v>1208.27</v>
      </c>
      <c r="AG1434" s="47">
        <f t="shared" si="184"/>
        <v>0</v>
      </c>
    </row>
    <row r="1435" spans="6:33" ht="24" customHeight="1">
      <c r="F1435" s="40">
        <v>0.5</v>
      </c>
      <c r="G1435" s="38" t="s">
        <v>105</v>
      </c>
      <c r="H1435" s="26" t="s">
        <v>271</v>
      </c>
      <c r="I1435" s="40">
        <f>(C12)</f>
        <v>702.8</v>
      </c>
      <c r="J1435" s="26" t="s">
        <v>105</v>
      </c>
      <c r="K1435" s="40">
        <f>(F1435*I1435)</f>
        <v>351.4</v>
      </c>
      <c r="M1435" s="107">
        <v>4</v>
      </c>
      <c r="N1435" s="38" t="s">
        <v>196</v>
      </c>
      <c r="O1435" s="26" t="s">
        <v>1601</v>
      </c>
      <c r="P1435" s="40">
        <f t="shared" si="190"/>
        <v>15</v>
      </c>
      <c r="Q1435" s="38" t="s">
        <v>196</v>
      </c>
      <c r="R1435" s="40">
        <f t="shared" si="191"/>
        <v>60</v>
      </c>
      <c r="T1435" s="29"/>
      <c r="U1435" s="184" t="s">
        <v>1641</v>
      </c>
      <c r="V1435" s="101" t="s">
        <v>1640</v>
      </c>
      <c r="W1435" s="101"/>
      <c r="X1435" s="101"/>
      <c r="Y1435" s="101"/>
      <c r="Z1435" s="76">
        <v>0.40500000000000003</v>
      </c>
      <c r="AA1435" s="38" t="s">
        <v>480</v>
      </c>
      <c r="AB1435" s="38"/>
      <c r="AC1435" s="26" t="s">
        <v>1588</v>
      </c>
      <c r="AD1435" s="40">
        <f>V1437</f>
        <v>208.8</v>
      </c>
      <c r="AE1435" s="38" t="s">
        <v>488</v>
      </c>
      <c r="AF1435" s="40">
        <f>AD1435*Z1435</f>
        <v>84.564000000000007</v>
      </c>
      <c r="AG1435" s="47">
        <f t="shared" si="184"/>
        <v>0</v>
      </c>
    </row>
    <row r="1436" spans="6:33" ht="24" customHeight="1">
      <c r="F1436" s="40">
        <v>1.1000000000000001</v>
      </c>
      <c r="G1436" s="38" t="s">
        <v>105</v>
      </c>
      <c r="H1436" s="26" t="s">
        <v>276</v>
      </c>
      <c r="I1436" s="40">
        <f>(C13)</f>
        <v>576.79999999999995</v>
      </c>
      <c r="J1436" s="26" t="s">
        <v>105</v>
      </c>
      <c r="K1436" s="40">
        <f>(F1436*I1436)</f>
        <v>634.48</v>
      </c>
      <c r="M1436" s="107">
        <v>0.60799999999999998</v>
      </c>
      <c r="N1436" s="38" t="s">
        <v>788</v>
      </c>
      <c r="O1436" s="26" t="s">
        <v>1602</v>
      </c>
      <c r="P1436" s="40">
        <f t="shared" si="190"/>
        <v>2156</v>
      </c>
      <c r="Q1436" s="38" t="s">
        <v>788</v>
      </c>
      <c r="R1436" s="40">
        <f t="shared" si="191"/>
        <v>1310.848</v>
      </c>
      <c r="S1436" s="76">
        <v>3.7389999999999999</v>
      </c>
      <c r="T1436" s="38" t="s">
        <v>488</v>
      </c>
      <c r="U1436" s="26" t="s">
        <v>1582</v>
      </c>
      <c r="V1436" s="40">
        <f>P1475</f>
        <v>287</v>
      </c>
      <c r="W1436" s="38" t="s">
        <v>488</v>
      </c>
      <c r="X1436" s="40">
        <f>V1436*S1436</f>
        <v>1073.0930000000001</v>
      </c>
      <c r="Y1436" s="40"/>
      <c r="Z1436" s="76">
        <v>0.40500000000000003</v>
      </c>
      <c r="AA1436" s="38" t="s">
        <v>480</v>
      </c>
      <c r="AB1436" s="38"/>
      <c r="AC1436" s="26" t="s">
        <v>1602</v>
      </c>
      <c r="AD1436" s="40">
        <f>V1438</f>
        <v>2156</v>
      </c>
      <c r="AE1436" s="38" t="s">
        <v>488</v>
      </c>
      <c r="AF1436" s="40">
        <f>AD1436*Z1436</f>
        <v>873.18000000000006</v>
      </c>
      <c r="AG1436" s="47">
        <f t="shared" si="184"/>
        <v>0</v>
      </c>
    </row>
    <row r="1437" spans="6:33" ht="24" customHeight="1">
      <c r="F1437" s="40">
        <v>2</v>
      </c>
      <c r="G1437" s="38" t="s">
        <v>392</v>
      </c>
      <c r="H1437" s="26" t="s">
        <v>1642</v>
      </c>
      <c r="I1437" s="40">
        <f>(C653)</f>
        <v>41.9</v>
      </c>
      <c r="J1437" s="26" t="s">
        <v>392</v>
      </c>
      <c r="K1437" s="40">
        <f>(F1437*I1437)</f>
        <v>83.8</v>
      </c>
      <c r="N1437" s="29"/>
      <c r="O1437" s="26" t="s">
        <v>1604</v>
      </c>
      <c r="Q1437" s="33"/>
      <c r="R1437" s="40">
        <v>0.57999999999999996</v>
      </c>
      <c r="S1437" s="76">
        <v>0.36</v>
      </c>
      <c r="T1437" s="38" t="s">
        <v>480</v>
      </c>
      <c r="U1437" s="26" t="s">
        <v>1588</v>
      </c>
      <c r="V1437" s="40">
        <f>P1476</f>
        <v>208.8</v>
      </c>
      <c r="W1437" s="38" t="s">
        <v>488</v>
      </c>
      <c r="X1437" s="40">
        <f>V1437*S1437</f>
        <v>75.168000000000006</v>
      </c>
      <c r="Y1437" s="40"/>
      <c r="Z1437" s="76"/>
      <c r="AA1437" s="38"/>
      <c r="AB1437" s="38"/>
      <c r="AC1437" s="26"/>
      <c r="AD1437" s="40"/>
      <c r="AE1437" s="38"/>
      <c r="AF1437" s="40">
        <f>SUM(AF1434:AF1436)</f>
        <v>2166.0140000000001</v>
      </c>
      <c r="AG1437" s="47">
        <f t="shared" si="184"/>
        <v>0</v>
      </c>
    </row>
    <row r="1438" spans="6:33" ht="24" customHeight="1">
      <c r="G1438" s="38" t="s">
        <v>106</v>
      </c>
      <c r="H1438" s="26" t="s">
        <v>107</v>
      </c>
      <c r="I1438" s="26" t="s">
        <v>27</v>
      </c>
      <c r="J1438" s="26" t="s">
        <v>106</v>
      </c>
      <c r="K1438" s="40">
        <v>5</v>
      </c>
      <c r="R1438" s="39">
        <f>SUM(R1425:R1437)</f>
        <v>3945.5384000000004</v>
      </c>
      <c r="S1438" s="76">
        <v>0.36</v>
      </c>
      <c r="T1438" s="38" t="s">
        <v>480</v>
      </c>
      <c r="U1438" s="26" t="s">
        <v>1602</v>
      </c>
      <c r="V1438" s="40">
        <f>P1477</f>
        <v>2156</v>
      </c>
      <c r="W1438" s="38" t="s">
        <v>488</v>
      </c>
      <c r="X1438" s="40">
        <f>V1438*S1438</f>
        <v>776.16</v>
      </c>
      <c r="Y1438" s="40"/>
      <c r="Z1438" s="76"/>
      <c r="AA1438" s="38"/>
      <c r="AB1438" s="38"/>
      <c r="AC1438" s="37" t="s">
        <v>1643</v>
      </c>
      <c r="AD1438" s="40"/>
      <c r="AE1438" s="38"/>
      <c r="AF1438" s="39">
        <f>AF1437/Z1436</f>
        <v>5348.1827160493831</v>
      </c>
      <c r="AG1438" s="47">
        <f t="shared" si="184"/>
        <v>0</v>
      </c>
    </row>
    <row r="1439" spans="6:33" ht="24" customHeight="1">
      <c r="K1439" s="35" t="s">
        <v>48</v>
      </c>
      <c r="M1439" s="40"/>
      <c r="N1439" s="38"/>
      <c r="O1439" s="26"/>
      <c r="P1439" s="40"/>
      <c r="Q1439" s="27"/>
      <c r="R1439" s="40"/>
      <c r="S1439" s="76"/>
      <c r="T1439" s="38"/>
      <c r="U1439" s="26"/>
      <c r="V1439" s="40"/>
      <c r="W1439" s="38"/>
      <c r="X1439" s="40">
        <f>SUM(X1436:X1438)</f>
        <v>1924.4209999999998</v>
      </c>
      <c r="Y1439" s="40"/>
      <c r="AG1439" s="47">
        <f t="shared" si="184"/>
        <v>0</v>
      </c>
    </row>
    <row r="1440" spans="6:33" ht="24" customHeight="1">
      <c r="F1440" s="26" t="s">
        <v>27</v>
      </c>
      <c r="H1440" s="26" t="s">
        <v>401</v>
      </c>
      <c r="K1440" s="40">
        <f>SUM(K1433:K1438)</f>
        <v>3052.9696000000004</v>
      </c>
      <c r="N1440" s="29"/>
      <c r="O1440" s="184" t="s">
        <v>1644</v>
      </c>
      <c r="Q1440" s="31"/>
      <c r="S1440" s="76"/>
      <c r="T1440" s="38"/>
      <c r="U1440" s="37" t="s">
        <v>1643</v>
      </c>
      <c r="V1440" s="40"/>
      <c r="W1440" s="38"/>
      <c r="X1440" s="39">
        <f>X1439/S1438</f>
        <v>5345.6138888888881</v>
      </c>
      <c r="Y1440" s="39"/>
      <c r="AG1440" s="47">
        <f t="shared" si="184"/>
        <v>0</v>
      </c>
    </row>
    <row r="1441" spans="6:33" ht="24" customHeight="1">
      <c r="H1441" s="41"/>
      <c r="I1441" s="41"/>
      <c r="J1441" s="86"/>
      <c r="K1441" s="43" t="s">
        <v>48</v>
      </c>
      <c r="M1441" s="107">
        <v>5.35</v>
      </c>
      <c r="N1441" s="38" t="s">
        <v>488</v>
      </c>
      <c r="O1441" s="96" t="s">
        <v>1628</v>
      </c>
      <c r="P1441" s="40">
        <f>P1425</f>
        <v>287</v>
      </c>
      <c r="Q1441" s="38" t="s">
        <v>488</v>
      </c>
      <c r="R1441" s="40">
        <f>P1441*M1441</f>
        <v>1535.4499999999998</v>
      </c>
      <c r="AG1441" s="47">
        <f t="shared" si="184"/>
        <v>0</v>
      </c>
    </row>
    <row r="1442" spans="6:33" ht="24" customHeight="1">
      <c r="H1442" s="42" t="s">
        <v>403</v>
      </c>
      <c r="I1442" s="41"/>
      <c r="J1442" s="86"/>
      <c r="K1442" s="39">
        <f>(K1440/10)</f>
        <v>305.29696000000001</v>
      </c>
      <c r="M1442" s="107">
        <v>7.58</v>
      </c>
      <c r="N1442" s="38" t="s">
        <v>488</v>
      </c>
      <c r="O1442" s="26" t="s">
        <v>1582</v>
      </c>
      <c r="P1442" s="40">
        <f t="shared" ref="P1442:P1452" si="192">P1426</f>
        <v>287</v>
      </c>
      <c r="Q1442" s="38" t="s">
        <v>488</v>
      </c>
      <c r="R1442" s="40">
        <f t="shared" ref="R1442:R1452" si="193">P1442*M1442</f>
        <v>2175.46</v>
      </c>
      <c r="T1442" s="29"/>
      <c r="U1442" s="184" t="s">
        <v>1645</v>
      </c>
      <c r="V1442" s="101" t="s">
        <v>1640</v>
      </c>
      <c r="W1442" s="31"/>
      <c r="AG1442" s="47">
        <f t="shared" si="184"/>
        <v>0</v>
      </c>
    </row>
    <row r="1443" spans="6:33" ht="24" customHeight="1">
      <c r="K1443" s="35" t="s">
        <v>41</v>
      </c>
      <c r="M1443" s="107">
        <v>13.15</v>
      </c>
      <c r="N1443" s="38" t="s">
        <v>488</v>
      </c>
      <c r="O1443" s="26" t="s">
        <v>1582</v>
      </c>
      <c r="P1443" s="40">
        <f t="shared" si="192"/>
        <v>287</v>
      </c>
      <c r="Q1443" s="38" t="s">
        <v>488</v>
      </c>
      <c r="R1443" s="40">
        <f t="shared" si="193"/>
        <v>3774.05</v>
      </c>
      <c r="S1443" s="76">
        <v>4.21</v>
      </c>
      <c r="T1443" s="38" t="s">
        <v>488</v>
      </c>
      <c r="U1443" s="26" t="s">
        <v>1582</v>
      </c>
      <c r="V1443" s="40">
        <f>P1482</f>
        <v>287</v>
      </c>
      <c r="W1443" s="38" t="s">
        <v>488</v>
      </c>
      <c r="X1443" s="40">
        <f>V1443*S1443</f>
        <v>1208.27</v>
      </c>
      <c r="Y1443" s="40"/>
      <c r="AG1443" s="47">
        <f t="shared" si="184"/>
        <v>0</v>
      </c>
    </row>
    <row r="1444" spans="6:33" ht="24" customHeight="1">
      <c r="H1444" s="26" t="s">
        <v>27</v>
      </c>
      <c r="M1444" s="107">
        <v>2.31</v>
      </c>
      <c r="N1444" s="38" t="s">
        <v>488</v>
      </c>
      <c r="O1444" s="26" t="s">
        <v>1582</v>
      </c>
      <c r="P1444" s="40">
        <f t="shared" si="192"/>
        <v>287</v>
      </c>
      <c r="Q1444" s="38" t="s">
        <v>488</v>
      </c>
      <c r="R1444" s="40">
        <f t="shared" si="193"/>
        <v>662.97</v>
      </c>
      <c r="S1444" s="76">
        <v>0.45</v>
      </c>
      <c r="T1444" s="38" t="s">
        <v>480</v>
      </c>
      <c r="U1444" s="26" t="s">
        <v>1588</v>
      </c>
      <c r="V1444" s="40">
        <f>P1483</f>
        <v>208.8</v>
      </c>
      <c r="W1444" s="38" t="s">
        <v>488</v>
      </c>
      <c r="X1444" s="40">
        <f>V1444*S1444</f>
        <v>93.960000000000008</v>
      </c>
      <c r="Y1444" s="40"/>
      <c r="AG1444" s="47">
        <f t="shared" si="184"/>
        <v>0</v>
      </c>
    </row>
    <row r="1445" spans="6:33" ht="24" customHeight="1">
      <c r="M1445" s="107">
        <v>2.44</v>
      </c>
      <c r="N1445" s="38" t="s">
        <v>480</v>
      </c>
      <c r="O1445" s="26" t="s">
        <v>1588</v>
      </c>
      <c r="P1445" s="73">
        <f t="shared" si="192"/>
        <v>208.8</v>
      </c>
      <c r="Q1445" s="38" t="s">
        <v>480</v>
      </c>
      <c r="R1445" s="40">
        <f t="shared" si="193"/>
        <v>509.47200000000004</v>
      </c>
      <c r="S1445" s="76">
        <v>0.45</v>
      </c>
      <c r="T1445" s="38" t="s">
        <v>480</v>
      </c>
      <c r="U1445" s="26" t="s">
        <v>1602</v>
      </c>
      <c r="V1445" s="40">
        <f>P1484</f>
        <v>2156</v>
      </c>
      <c r="W1445" s="38" t="s">
        <v>488</v>
      </c>
      <c r="X1445" s="40">
        <f>V1445*S1445</f>
        <v>970.2</v>
      </c>
      <c r="Y1445" s="40"/>
      <c r="AG1445" s="47">
        <f t="shared" si="184"/>
        <v>0</v>
      </c>
    </row>
    <row r="1446" spans="6:33" ht="24" customHeight="1">
      <c r="F1446" s="27" t="s">
        <v>1646</v>
      </c>
      <c r="G1446" s="38" t="s">
        <v>67</v>
      </c>
      <c r="H1446" s="26" t="s">
        <v>1647</v>
      </c>
      <c r="M1446" s="107">
        <v>18.62</v>
      </c>
      <c r="N1446" s="38" t="s">
        <v>1125</v>
      </c>
      <c r="O1446" s="96" t="s">
        <v>1629</v>
      </c>
      <c r="P1446" s="40">
        <f t="shared" si="192"/>
        <v>28.6</v>
      </c>
      <c r="Q1446" s="38" t="s">
        <v>1125</v>
      </c>
      <c r="R1446" s="40">
        <f t="shared" si="193"/>
        <v>532.53200000000004</v>
      </c>
      <c r="S1446" s="76">
        <f>R1485-2967</f>
        <v>961.03800000000001</v>
      </c>
      <c r="T1446" s="38"/>
      <c r="U1446" s="26"/>
      <c r="V1446" s="40"/>
      <c r="W1446" s="38"/>
      <c r="X1446" s="40">
        <f>SUM(X1443:X1445)</f>
        <v>2272.4300000000003</v>
      </c>
      <c r="Y1446" s="40"/>
      <c r="AG1446" s="47">
        <f t="shared" si="184"/>
        <v>0</v>
      </c>
    </row>
    <row r="1447" spans="6:33" ht="24" customHeight="1">
      <c r="H1447" s="26" t="s">
        <v>1648</v>
      </c>
      <c r="M1447" s="107">
        <v>16</v>
      </c>
      <c r="N1447" s="38" t="s">
        <v>196</v>
      </c>
      <c r="O1447" s="96" t="s">
        <v>1630</v>
      </c>
      <c r="P1447" s="40">
        <f t="shared" si="192"/>
        <v>63.5</v>
      </c>
      <c r="Q1447" s="38" t="s">
        <v>196</v>
      </c>
      <c r="R1447" s="40">
        <f t="shared" si="193"/>
        <v>1016</v>
      </c>
      <c r="S1447" s="76"/>
      <c r="T1447" s="38"/>
      <c r="U1447" s="37" t="s">
        <v>1643</v>
      </c>
      <c r="V1447" s="40"/>
      <c r="W1447" s="38"/>
      <c r="X1447" s="39">
        <f>X1446/S1445</f>
        <v>5049.8444444444449</v>
      </c>
      <c r="Y1447" s="39"/>
      <c r="Z1447" s="32"/>
      <c r="AA1447" s="29"/>
      <c r="AB1447" s="29"/>
      <c r="AC1447" s="184" t="s">
        <v>1649</v>
      </c>
      <c r="AE1447" s="31"/>
      <c r="AG1447" s="47">
        <f t="shared" si="184"/>
        <v>0</v>
      </c>
    </row>
    <row r="1448" spans="6:33" ht="24" customHeight="1">
      <c r="H1448" s="26" t="s">
        <v>1650</v>
      </c>
      <c r="M1448" s="107">
        <v>8</v>
      </c>
      <c r="N1448" s="38" t="s">
        <v>196</v>
      </c>
      <c r="O1448" s="96" t="s">
        <v>1621</v>
      </c>
      <c r="P1448" s="40">
        <f t="shared" si="192"/>
        <v>50.9</v>
      </c>
      <c r="Q1448" s="38" t="s">
        <v>196</v>
      </c>
      <c r="R1448" s="40">
        <f t="shared" si="193"/>
        <v>407.2</v>
      </c>
      <c r="Z1448" s="76">
        <v>3.26</v>
      </c>
      <c r="AA1448" s="38" t="s">
        <v>488</v>
      </c>
      <c r="AB1448" s="38"/>
      <c r="AC1448" s="26" t="s">
        <v>1582</v>
      </c>
      <c r="AD1448" s="40">
        <f t="shared" ref="AD1448:AD1459" si="194">V1450</f>
        <v>287</v>
      </c>
      <c r="AE1448" s="38" t="s">
        <v>488</v>
      </c>
      <c r="AF1448" s="40">
        <f t="shared" ref="AF1448:AF1459" si="195">AD1448*Z1448</f>
        <v>935.61999999999989</v>
      </c>
      <c r="AG1448" s="47">
        <f t="shared" si="184"/>
        <v>0</v>
      </c>
    </row>
    <row r="1449" spans="6:33" ht="24" customHeight="1">
      <c r="H1449" s="26" t="s">
        <v>1651</v>
      </c>
      <c r="M1449" s="107">
        <v>8</v>
      </c>
      <c r="N1449" s="38" t="s">
        <v>196</v>
      </c>
      <c r="O1449" s="26" t="s">
        <v>1598</v>
      </c>
      <c r="P1449" s="40">
        <f t="shared" si="192"/>
        <v>30</v>
      </c>
      <c r="Q1449" s="38" t="s">
        <v>196</v>
      </c>
      <c r="R1449" s="40">
        <f t="shared" si="193"/>
        <v>240</v>
      </c>
      <c r="T1449" s="29"/>
      <c r="U1449" s="184" t="s">
        <v>1652</v>
      </c>
      <c r="W1449" s="31"/>
      <c r="Z1449" s="76">
        <v>0.84</v>
      </c>
      <c r="AA1449" s="38" t="s">
        <v>488</v>
      </c>
      <c r="AB1449" s="38"/>
      <c r="AC1449" s="26" t="s">
        <v>1582</v>
      </c>
      <c r="AD1449" s="40">
        <f t="shared" si="194"/>
        <v>287</v>
      </c>
      <c r="AE1449" s="38" t="s">
        <v>488</v>
      </c>
      <c r="AF1449" s="40">
        <f t="shared" si="195"/>
        <v>241.07999999999998</v>
      </c>
      <c r="AG1449" s="47">
        <f t="shared" si="184"/>
        <v>0</v>
      </c>
    </row>
    <row r="1450" spans="6:33" ht="24" customHeight="1">
      <c r="H1450" s="35" t="s">
        <v>48</v>
      </c>
      <c r="I1450" s="35" t="s">
        <v>48</v>
      </c>
      <c r="M1450" s="107">
        <v>8</v>
      </c>
      <c r="N1450" s="38" t="s">
        <v>196</v>
      </c>
      <c r="O1450" s="26" t="s">
        <v>1599</v>
      </c>
      <c r="P1450" s="40">
        <f t="shared" si="192"/>
        <v>20</v>
      </c>
      <c r="Q1450" s="38" t="s">
        <v>196</v>
      </c>
      <c r="R1450" s="40">
        <f t="shared" si="193"/>
        <v>160</v>
      </c>
      <c r="S1450" s="76">
        <v>3.49</v>
      </c>
      <c r="T1450" s="38" t="s">
        <v>488</v>
      </c>
      <c r="U1450" s="26" t="s">
        <v>1582</v>
      </c>
      <c r="V1450" s="40">
        <f>P1489</f>
        <v>287</v>
      </c>
      <c r="W1450" s="38" t="s">
        <v>488</v>
      </c>
      <c r="X1450" s="40">
        <f>V1450*S1450</f>
        <v>1001.6300000000001</v>
      </c>
      <c r="Y1450" s="40"/>
      <c r="Z1450" s="76">
        <v>3.65</v>
      </c>
      <c r="AA1450" s="38" t="s">
        <v>488</v>
      </c>
      <c r="AB1450" s="38"/>
      <c r="AC1450" s="26" t="s">
        <v>1582</v>
      </c>
      <c r="AD1450" s="40">
        <f t="shared" si="194"/>
        <v>287</v>
      </c>
      <c r="AE1450" s="38" t="s">
        <v>488</v>
      </c>
      <c r="AF1450" s="40">
        <f t="shared" si="195"/>
        <v>1047.55</v>
      </c>
      <c r="AG1450" s="47">
        <f t="shared" si="184"/>
        <v>0</v>
      </c>
    </row>
    <row r="1451" spans="6:33" ht="24" customHeight="1">
      <c r="G1451" s="38" t="s">
        <v>1035</v>
      </c>
      <c r="H1451" s="26" t="s">
        <v>1653</v>
      </c>
      <c r="M1451" s="107">
        <v>4</v>
      </c>
      <c r="N1451" s="38" t="s">
        <v>196</v>
      </c>
      <c r="O1451" s="26" t="s">
        <v>1601</v>
      </c>
      <c r="P1451" s="40">
        <f t="shared" si="192"/>
        <v>15</v>
      </c>
      <c r="Q1451" s="38" t="s">
        <v>196</v>
      </c>
      <c r="R1451" s="40">
        <f t="shared" si="193"/>
        <v>60</v>
      </c>
      <c r="S1451" s="76">
        <v>2.5299999999999998</v>
      </c>
      <c r="T1451" s="38" t="s">
        <v>488</v>
      </c>
      <c r="U1451" s="26" t="s">
        <v>1582</v>
      </c>
      <c r="V1451" s="40">
        <f t="shared" ref="V1451:V1461" si="196">P1490</f>
        <v>287</v>
      </c>
      <c r="W1451" s="38" t="s">
        <v>488</v>
      </c>
      <c r="X1451" s="40">
        <f t="shared" ref="X1451:X1461" si="197">V1451*S1451</f>
        <v>726.1099999999999</v>
      </c>
      <c r="Y1451" s="40"/>
      <c r="Z1451" s="76">
        <v>0.64</v>
      </c>
      <c r="AA1451" s="38" t="s">
        <v>488</v>
      </c>
      <c r="AB1451" s="38"/>
      <c r="AC1451" s="26" t="s">
        <v>1582</v>
      </c>
      <c r="AD1451" s="40">
        <f t="shared" si="194"/>
        <v>287</v>
      </c>
      <c r="AE1451" s="38" t="s">
        <v>488</v>
      </c>
      <c r="AF1451" s="40">
        <f t="shared" si="195"/>
        <v>183.68</v>
      </c>
      <c r="AG1451" s="47">
        <f t="shared" si="184"/>
        <v>0</v>
      </c>
    </row>
    <row r="1452" spans="6:33" ht="24" customHeight="1">
      <c r="G1452" s="38" t="s">
        <v>48</v>
      </c>
      <c r="H1452" s="35" t="s">
        <v>48</v>
      </c>
      <c r="M1452" s="107">
        <f>1.8*1.65</f>
        <v>2.9699999999999998</v>
      </c>
      <c r="N1452" s="38" t="s">
        <v>788</v>
      </c>
      <c r="O1452" s="26" t="s">
        <v>1602</v>
      </c>
      <c r="P1452" s="40">
        <f t="shared" si="192"/>
        <v>2156</v>
      </c>
      <c r="Q1452" s="38" t="s">
        <v>788</v>
      </c>
      <c r="R1452" s="40">
        <f t="shared" si="193"/>
        <v>6403.32</v>
      </c>
      <c r="S1452" s="76">
        <v>5.7549999999999999</v>
      </c>
      <c r="T1452" s="38" t="s">
        <v>488</v>
      </c>
      <c r="U1452" s="26" t="s">
        <v>1582</v>
      </c>
      <c r="V1452" s="40">
        <f t="shared" si="196"/>
        <v>287</v>
      </c>
      <c r="W1452" s="38" t="s">
        <v>488</v>
      </c>
      <c r="X1452" s="40">
        <f t="shared" si="197"/>
        <v>1651.6849999999999</v>
      </c>
      <c r="Y1452" s="40"/>
      <c r="Z1452" s="76">
        <v>0.84099999999999997</v>
      </c>
      <c r="AA1452" s="38" t="s">
        <v>480</v>
      </c>
      <c r="AB1452" s="38"/>
      <c r="AC1452" s="26" t="s">
        <v>1588</v>
      </c>
      <c r="AD1452" s="40">
        <f t="shared" si="194"/>
        <v>208.8</v>
      </c>
      <c r="AE1452" s="38" t="s">
        <v>480</v>
      </c>
      <c r="AF1452" s="40">
        <f t="shared" si="195"/>
        <v>175.60079999999999</v>
      </c>
      <c r="AG1452" s="47">
        <f t="shared" si="184"/>
        <v>0</v>
      </c>
    </row>
    <row r="1453" spans="6:33" ht="24" customHeight="1">
      <c r="F1453" s="107">
        <v>1.4E-2</v>
      </c>
      <c r="G1453" s="38" t="s">
        <v>249</v>
      </c>
      <c r="H1453" s="26" t="s">
        <v>1654</v>
      </c>
      <c r="I1453" s="40">
        <f>K49</f>
        <v>4558.04</v>
      </c>
      <c r="J1453" s="26" t="s">
        <v>249</v>
      </c>
      <c r="K1453" s="40">
        <f>(F1453*I1453)</f>
        <v>63.812559999999998</v>
      </c>
      <c r="N1453" s="29"/>
      <c r="O1453" s="26" t="s">
        <v>1604</v>
      </c>
      <c r="Q1453" s="33"/>
      <c r="R1453" s="40">
        <v>0.78</v>
      </c>
      <c r="S1453" s="76">
        <v>1.0009999999999999</v>
      </c>
      <c r="T1453" s="38" t="s">
        <v>488</v>
      </c>
      <c r="U1453" s="26" t="s">
        <v>1582</v>
      </c>
      <c r="V1453" s="40">
        <f t="shared" si="196"/>
        <v>287</v>
      </c>
      <c r="W1453" s="38" t="s">
        <v>488</v>
      </c>
      <c r="X1453" s="40">
        <f t="shared" si="197"/>
        <v>287.28699999999998</v>
      </c>
      <c r="Y1453" s="40"/>
      <c r="Z1453" s="76">
        <v>5.1959999999999997</v>
      </c>
      <c r="AA1453" s="38" t="s">
        <v>1125</v>
      </c>
      <c r="AB1453" s="38"/>
      <c r="AC1453" s="26" t="s">
        <v>1591</v>
      </c>
      <c r="AD1453" s="40">
        <f t="shared" si="194"/>
        <v>28.6</v>
      </c>
      <c r="AE1453" s="38" t="s">
        <v>1125</v>
      </c>
      <c r="AF1453" s="40">
        <f t="shared" si="195"/>
        <v>148.60560000000001</v>
      </c>
      <c r="AG1453" s="47">
        <f t="shared" si="184"/>
        <v>0</v>
      </c>
    </row>
    <row r="1454" spans="6:33" ht="24" customHeight="1">
      <c r="F1454" s="40">
        <v>0.3</v>
      </c>
      <c r="G1454" s="38" t="s">
        <v>791</v>
      </c>
      <c r="H1454" s="26" t="s">
        <v>1655</v>
      </c>
      <c r="I1454" s="40">
        <f>C10</f>
        <v>1076.5999999999999</v>
      </c>
      <c r="J1454" s="26" t="s">
        <v>791</v>
      </c>
      <c r="K1454" s="40">
        <f>(F1454*I1454)</f>
        <v>322.97999999999996</v>
      </c>
      <c r="R1454" s="39">
        <f>SUM(R1441:R1453)</f>
        <v>17477.233999999997</v>
      </c>
      <c r="S1454" s="76">
        <f>1.012</f>
        <v>1.012</v>
      </c>
      <c r="T1454" s="38" t="s">
        <v>480</v>
      </c>
      <c r="U1454" s="26" t="s">
        <v>1588</v>
      </c>
      <c r="V1454" s="40">
        <f t="shared" si="196"/>
        <v>208.8</v>
      </c>
      <c r="W1454" s="38" t="s">
        <v>480</v>
      </c>
      <c r="X1454" s="40">
        <f t="shared" si="197"/>
        <v>211.30560000000003</v>
      </c>
      <c r="Y1454" s="40"/>
      <c r="Z1454" s="76">
        <v>4</v>
      </c>
      <c r="AA1454" s="38" t="s">
        <v>196</v>
      </c>
      <c r="AB1454" s="38"/>
      <c r="AC1454" s="26" t="s">
        <v>1593</v>
      </c>
      <c r="AD1454" s="40">
        <f t="shared" si="194"/>
        <v>63.5</v>
      </c>
      <c r="AE1454" s="38" t="s">
        <v>196</v>
      </c>
      <c r="AF1454" s="40">
        <f t="shared" si="195"/>
        <v>254</v>
      </c>
      <c r="AG1454" s="47">
        <f t="shared" si="184"/>
        <v>0</v>
      </c>
    </row>
    <row r="1455" spans="6:33" ht="24" customHeight="1">
      <c r="F1455" s="40">
        <v>0.3</v>
      </c>
      <c r="G1455" s="38" t="s">
        <v>791</v>
      </c>
      <c r="H1455" s="26" t="s">
        <v>795</v>
      </c>
      <c r="I1455" s="40">
        <f>C12</f>
        <v>702.8</v>
      </c>
      <c r="J1455" s="26" t="s">
        <v>791</v>
      </c>
      <c r="K1455" s="40">
        <f>(F1455*I1455)</f>
        <v>210.83999999999997</v>
      </c>
      <c r="R1455" s="28">
        <f>R1454/M1452</f>
        <v>5884.5905723905717</v>
      </c>
      <c r="S1455" s="76" t="s">
        <v>788</v>
      </c>
      <c r="T1455" s="38" t="s">
        <v>1125</v>
      </c>
      <c r="U1455" s="26" t="s">
        <v>1591</v>
      </c>
      <c r="V1455" s="40">
        <f t="shared" si="196"/>
        <v>28.6</v>
      </c>
      <c r="W1455" s="38" t="s">
        <v>1125</v>
      </c>
      <c r="X1455" s="40">
        <f t="shared" si="197"/>
        <v>0</v>
      </c>
      <c r="Y1455" s="40"/>
      <c r="Z1455" s="76">
        <v>2</v>
      </c>
      <c r="AA1455" s="38" t="s">
        <v>196</v>
      </c>
      <c r="AB1455" s="38"/>
      <c r="AC1455" s="26" t="s">
        <v>1595</v>
      </c>
      <c r="AD1455" s="40">
        <f t="shared" si="194"/>
        <v>50.9</v>
      </c>
      <c r="AE1455" s="38" t="s">
        <v>196</v>
      </c>
      <c r="AF1455" s="40">
        <f t="shared" si="195"/>
        <v>101.8</v>
      </c>
      <c r="AG1455" s="47">
        <f t="shared" si="184"/>
        <v>0</v>
      </c>
    </row>
    <row r="1456" spans="6:33" ht="24" customHeight="1">
      <c r="G1456" s="38" t="s">
        <v>106</v>
      </c>
      <c r="H1456" s="26" t="s">
        <v>1236</v>
      </c>
      <c r="J1456" s="26" t="s">
        <v>106</v>
      </c>
      <c r="K1456" s="28">
        <v>5</v>
      </c>
      <c r="S1456" s="76">
        <v>8</v>
      </c>
      <c r="T1456" s="38" t="s">
        <v>196</v>
      </c>
      <c r="U1456" s="26" t="s">
        <v>1593</v>
      </c>
      <c r="V1456" s="40">
        <f t="shared" si="196"/>
        <v>63.5</v>
      </c>
      <c r="W1456" s="38" t="s">
        <v>196</v>
      </c>
      <c r="X1456" s="40">
        <f t="shared" si="197"/>
        <v>508</v>
      </c>
      <c r="Y1456" s="40"/>
      <c r="Z1456" s="76">
        <v>2</v>
      </c>
      <c r="AA1456" s="38" t="s">
        <v>196</v>
      </c>
      <c r="AB1456" s="38"/>
      <c r="AC1456" s="26" t="s">
        <v>1598</v>
      </c>
      <c r="AD1456" s="40">
        <f t="shared" si="194"/>
        <v>30</v>
      </c>
      <c r="AE1456" s="38" t="s">
        <v>196</v>
      </c>
      <c r="AF1456" s="40">
        <f t="shared" si="195"/>
        <v>60</v>
      </c>
      <c r="AG1456" s="47">
        <f t="shared" si="184"/>
        <v>0</v>
      </c>
    </row>
    <row r="1457" spans="6:33" ht="24" customHeight="1">
      <c r="K1457" s="35" t="s">
        <v>48</v>
      </c>
      <c r="N1457" s="29"/>
      <c r="O1457" s="184" t="s">
        <v>1656</v>
      </c>
      <c r="Q1457" s="31"/>
      <c r="S1457" s="76">
        <v>4</v>
      </c>
      <c r="T1457" s="38" t="s">
        <v>196</v>
      </c>
      <c r="U1457" s="26" t="s">
        <v>1595</v>
      </c>
      <c r="V1457" s="40">
        <f t="shared" si="196"/>
        <v>50.9</v>
      </c>
      <c r="W1457" s="38" t="s">
        <v>196</v>
      </c>
      <c r="X1457" s="40">
        <f t="shared" si="197"/>
        <v>203.6</v>
      </c>
      <c r="Y1457" s="40"/>
      <c r="Z1457" s="76">
        <v>2</v>
      </c>
      <c r="AA1457" s="38" t="s">
        <v>196</v>
      </c>
      <c r="AB1457" s="38"/>
      <c r="AC1457" s="26" t="s">
        <v>1599</v>
      </c>
      <c r="AD1457" s="40">
        <f t="shared" si="194"/>
        <v>20</v>
      </c>
      <c r="AE1457" s="38" t="s">
        <v>196</v>
      </c>
      <c r="AF1457" s="40">
        <f t="shared" si="195"/>
        <v>40</v>
      </c>
      <c r="AG1457" s="47">
        <f t="shared" si="184"/>
        <v>0</v>
      </c>
    </row>
    <row r="1458" spans="6:33" ht="24" customHeight="1">
      <c r="H1458" s="27" t="s">
        <v>1657</v>
      </c>
      <c r="K1458" s="40">
        <f>SUM(K1453:K1456)</f>
        <v>602.63256000000001</v>
      </c>
      <c r="M1458" s="107">
        <v>10.75</v>
      </c>
      <c r="N1458" s="38" t="s">
        <v>488</v>
      </c>
      <c r="O1458" s="96" t="s">
        <v>1628</v>
      </c>
      <c r="P1458" s="40">
        <f>P1441</f>
        <v>287</v>
      </c>
      <c r="Q1458" s="38" t="s">
        <v>488</v>
      </c>
      <c r="R1458" s="40">
        <f>P1458*M1458</f>
        <v>3085.25</v>
      </c>
      <c r="S1458" s="76">
        <v>4</v>
      </c>
      <c r="T1458" s="38" t="s">
        <v>196</v>
      </c>
      <c r="U1458" s="26" t="s">
        <v>1598</v>
      </c>
      <c r="V1458" s="40">
        <f t="shared" si="196"/>
        <v>30</v>
      </c>
      <c r="W1458" s="38" t="s">
        <v>196</v>
      </c>
      <c r="X1458" s="40">
        <f t="shared" si="197"/>
        <v>120</v>
      </c>
      <c r="Y1458" s="40"/>
      <c r="Z1458" s="76">
        <v>4</v>
      </c>
      <c r="AA1458" s="38" t="s">
        <v>196</v>
      </c>
      <c r="AB1458" s="38"/>
      <c r="AC1458" s="26" t="s">
        <v>1601</v>
      </c>
      <c r="AD1458" s="40">
        <f t="shared" si="194"/>
        <v>15</v>
      </c>
      <c r="AE1458" s="38" t="s">
        <v>196</v>
      </c>
      <c r="AF1458" s="40">
        <f t="shared" si="195"/>
        <v>60</v>
      </c>
      <c r="AG1458" s="47">
        <f t="shared" si="184"/>
        <v>0</v>
      </c>
    </row>
    <row r="1459" spans="6:33" ht="24" customHeight="1">
      <c r="K1459" s="35" t="s">
        <v>48</v>
      </c>
      <c r="M1459" s="107">
        <v>0.99199999999999999</v>
      </c>
      <c r="N1459" s="38" t="s">
        <v>488</v>
      </c>
      <c r="O1459" s="26" t="s">
        <v>1582</v>
      </c>
      <c r="P1459" s="40">
        <f t="shared" ref="P1459:P1469" si="198">P1442</f>
        <v>287</v>
      </c>
      <c r="Q1459" s="38" t="s">
        <v>488</v>
      </c>
      <c r="R1459" s="40">
        <f t="shared" ref="R1459:R1469" si="199">P1459*M1459</f>
        <v>284.70400000000001</v>
      </c>
      <c r="S1459" s="76">
        <v>4</v>
      </c>
      <c r="T1459" s="38" t="s">
        <v>196</v>
      </c>
      <c r="U1459" s="26" t="s">
        <v>1599</v>
      </c>
      <c r="V1459" s="40">
        <f t="shared" si="196"/>
        <v>20</v>
      </c>
      <c r="W1459" s="38" t="s">
        <v>196</v>
      </c>
      <c r="X1459" s="40">
        <f t="shared" si="197"/>
        <v>80</v>
      </c>
      <c r="Y1459" s="40"/>
      <c r="Z1459" s="76">
        <v>1.01</v>
      </c>
      <c r="AA1459" s="38" t="s">
        <v>788</v>
      </c>
      <c r="AB1459" s="38"/>
      <c r="AC1459" s="26" t="s">
        <v>1602</v>
      </c>
      <c r="AD1459" s="40">
        <f t="shared" si="194"/>
        <v>2156</v>
      </c>
      <c r="AE1459" s="38" t="s">
        <v>788</v>
      </c>
      <c r="AF1459" s="40">
        <f t="shared" si="195"/>
        <v>2177.56</v>
      </c>
      <c r="AG1459" s="47">
        <f t="shared" si="184"/>
        <v>0</v>
      </c>
    </row>
    <row r="1460" spans="6:33" ht="24" customHeight="1">
      <c r="H1460" s="42" t="s">
        <v>1658</v>
      </c>
      <c r="I1460" s="41"/>
      <c r="J1460" s="86"/>
      <c r="K1460" s="39">
        <f>K1458/6.77</f>
        <v>89.015149187592328</v>
      </c>
      <c r="M1460" s="107">
        <v>0</v>
      </c>
      <c r="N1460" s="38" t="s">
        <v>488</v>
      </c>
      <c r="O1460" s="26" t="s">
        <v>1582</v>
      </c>
      <c r="P1460" s="40">
        <f t="shared" si="198"/>
        <v>287</v>
      </c>
      <c r="Q1460" s="38" t="s">
        <v>488</v>
      </c>
      <c r="R1460" s="40">
        <f t="shared" si="199"/>
        <v>0</v>
      </c>
      <c r="S1460" s="76">
        <v>4</v>
      </c>
      <c r="T1460" s="38" t="s">
        <v>196</v>
      </c>
      <c r="U1460" s="26" t="s">
        <v>1601</v>
      </c>
      <c r="V1460" s="40">
        <f t="shared" si="196"/>
        <v>15</v>
      </c>
      <c r="W1460" s="38" t="s">
        <v>196</v>
      </c>
      <c r="X1460" s="40">
        <f t="shared" si="197"/>
        <v>60</v>
      </c>
      <c r="Y1460" s="40"/>
      <c r="Z1460" s="32"/>
      <c r="AA1460" s="29"/>
      <c r="AB1460" s="29"/>
      <c r="AC1460" s="26" t="s">
        <v>1604</v>
      </c>
      <c r="AE1460" s="33"/>
      <c r="AF1460" s="40">
        <v>0.84</v>
      </c>
      <c r="AG1460" s="47">
        <f t="shared" si="184"/>
        <v>0</v>
      </c>
    </row>
    <row r="1461" spans="6:33" ht="24" customHeight="1">
      <c r="F1461" s="26" t="s">
        <v>27</v>
      </c>
      <c r="M1461" s="107">
        <v>0</v>
      </c>
      <c r="N1461" s="38" t="s">
        <v>488</v>
      </c>
      <c r="O1461" s="26" t="s">
        <v>1582</v>
      </c>
      <c r="P1461" s="40">
        <f t="shared" si="198"/>
        <v>287</v>
      </c>
      <c r="Q1461" s="38" t="s">
        <v>488</v>
      </c>
      <c r="R1461" s="40">
        <f t="shared" si="199"/>
        <v>0</v>
      </c>
      <c r="S1461" s="76">
        <v>1.26</v>
      </c>
      <c r="T1461" s="38" t="s">
        <v>788</v>
      </c>
      <c r="U1461" s="26" t="s">
        <v>1602</v>
      </c>
      <c r="V1461" s="40">
        <f t="shared" si="196"/>
        <v>2156</v>
      </c>
      <c r="W1461" s="38" t="s">
        <v>788</v>
      </c>
      <c r="X1461" s="40">
        <f t="shared" si="197"/>
        <v>2716.56</v>
      </c>
      <c r="Y1461" s="40"/>
      <c r="Z1461" s="32"/>
      <c r="AC1461" s="37" t="s">
        <v>1606</v>
      </c>
      <c r="AF1461" s="39">
        <f>SUM(AF1448:AF1460)</f>
        <v>5426.3364000000001</v>
      </c>
      <c r="AG1461" s="47">
        <f t="shared" si="184"/>
        <v>0</v>
      </c>
    </row>
    <row r="1462" spans="6:33" ht="24" customHeight="1">
      <c r="K1462" s="35" t="s">
        <v>41</v>
      </c>
      <c r="M1462" s="107">
        <v>1.89</v>
      </c>
      <c r="N1462" s="38" t="s">
        <v>480</v>
      </c>
      <c r="O1462" s="26" t="s">
        <v>1588</v>
      </c>
      <c r="P1462" s="73">
        <f t="shared" si="198"/>
        <v>208.8</v>
      </c>
      <c r="Q1462" s="38" t="s">
        <v>480</v>
      </c>
      <c r="R1462" s="40">
        <f t="shared" si="199"/>
        <v>394.63200000000001</v>
      </c>
      <c r="T1462" s="29"/>
      <c r="U1462" s="26" t="s">
        <v>1604</v>
      </c>
      <c r="W1462" s="33"/>
      <c r="X1462" s="40">
        <v>0.14000000000000001</v>
      </c>
      <c r="Y1462" s="40"/>
      <c r="AG1462" s="47">
        <f t="shared" si="184"/>
        <v>0</v>
      </c>
    </row>
    <row r="1463" spans="6:33" ht="24" customHeight="1">
      <c r="G1463" s="38" t="s">
        <v>1064</v>
      </c>
      <c r="H1463" s="26" t="s">
        <v>1659</v>
      </c>
      <c r="M1463" s="107">
        <v>8</v>
      </c>
      <c r="N1463" s="38" t="s">
        <v>1125</v>
      </c>
      <c r="O1463" s="96" t="s">
        <v>1629</v>
      </c>
      <c r="P1463" s="40">
        <f t="shared" si="198"/>
        <v>28.6</v>
      </c>
      <c r="Q1463" s="38" t="s">
        <v>1125</v>
      </c>
      <c r="R1463" s="40">
        <f t="shared" si="199"/>
        <v>228.8</v>
      </c>
      <c r="U1463" s="37" t="s">
        <v>1606</v>
      </c>
      <c r="X1463" s="39">
        <f>SUM(X1450:X1462)</f>
        <v>7566.3176000000012</v>
      </c>
      <c r="Y1463" s="39"/>
      <c r="AG1463" s="47">
        <f t="shared" si="184"/>
        <v>0</v>
      </c>
    </row>
    <row r="1464" spans="6:33" ht="24" customHeight="1">
      <c r="G1464" s="38" t="s">
        <v>48</v>
      </c>
      <c r="H1464" s="35" t="s">
        <v>48</v>
      </c>
      <c r="M1464" s="107">
        <v>0</v>
      </c>
      <c r="N1464" s="38" t="s">
        <v>196</v>
      </c>
      <c r="O1464" s="96" t="s">
        <v>1630</v>
      </c>
      <c r="P1464" s="40">
        <f t="shared" si="198"/>
        <v>63.5</v>
      </c>
      <c r="Q1464" s="38" t="s">
        <v>196</v>
      </c>
      <c r="R1464" s="40">
        <f t="shared" si="199"/>
        <v>0</v>
      </c>
      <c r="AG1464" s="47">
        <f t="shared" si="184"/>
        <v>0</v>
      </c>
    </row>
    <row r="1465" spans="6:33" ht="24" customHeight="1">
      <c r="F1465" s="107">
        <v>7.0000000000000001E-3</v>
      </c>
      <c r="G1465" s="38" t="s">
        <v>249</v>
      </c>
      <c r="H1465" s="26" t="s">
        <v>1654</v>
      </c>
      <c r="I1465" s="40">
        <f>K49</f>
        <v>4558.04</v>
      </c>
      <c r="J1465" s="26" t="s">
        <v>249</v>
      </c>
      <c r="K1465" s="40">
        <f>(F1465*I1465)</f>
        <v>31.906279999999999</v>
      </c>
      <c r="M1465" s="107">
        <v>0</v>
      </c>
      <c r="N1465" s="38" t="s">
        <v>196</v>
      </c>
      <c r="O1465" s="96" t="s">
        <v>1621</v>
      </c>
      <c r="P1465" s="40">
        <f t="shared" si="198"/>
        <v>50.9</v>
      </c>
      <c r="Q1465" s="38" t="s">
        <v>196</v>
      </c>
      <c r="R1465" s="40">
        <f t="shared" si="199"/>
        <v>0</v>
      </c>
      <c r="AG1465" s="47">
        <f t="shared" si="184"/>
        <v>0</v>
      </c>
    </row>
    <row r="1466" spans="6:33" ht="24" customHeight="1">
      <c r="F1466" s="40">
        <v>0.2</v>
      </c>
      <c r="G1466" s="38" t="s">
        <v>791</v>
      </c>
      <c r="H1466" s="26" t="s">
        <v>1655</v>
      </c>
      <c r="I1466" s="40">
        <f>C10</f>
        <v>1076.5999999999999</v>
      </c>
      <c r="J1466" s="26" t="s">
        <v>791</v>
      </c>
      <c r="K1466" s="40">
        <f>(F1466*I1466)</f>
        <v>215.32</v>
      </c>
      <c r="M1466" s="107">
        <v>0</v>
      </c>
      <c r="N1466" s="38" t="s">
        <v>196</v>
      </c>
      <c r="O1466" s="26" t="s">
        <v>1598</v>
      </c>
      <c r="P1466" s="40">
        <f t="shared" si="198"/>
        <v>30</v>
      </c>
      <c r="Q1466" s="38" t="s">
        <v>196</v>
      </c>
      <c r="R1466" s="40">
        <f t="shared" si="199"/>
        <v>0</v>
      </c>
      <c r="T1466" s="29"/>
      <c r="U1466" s="184" t="s">
        <v>1660</v>
      </c>
      <c r="V1466" s="101" t="s">
        <v>1640</v>
      </c>
      <c r="W1466" s="31"/>
      <c r="AG1466" s="47">
        <f t="shared" si="184"/>
        <v>0</v>
      </c>
    </row>
    <row r="1467" spans="6:33" ht="24" customHeight="1">
      <c r="F1467" s="40">
        <v>0.2</v>
      </c>
      <c r="G1467" s="38" t="s">
        <v>791</v>
      </c>
      <c r="H1467" s="26" t="s">
        <v>795</v>
      </c>
      <c r="I1467" s="40">
        <f>C12</f>
        <v>702.8</v>
      </c>
      <c r="J1467" s="26" t="s">
        <v>791</v>
      </c>
      <c r="K1467" s="40">
        <f>(F1467*I1467)</f>
        <v>140.56</v>
      </c>
      <c r="M1467" s="107">
        <v>0</v>
      </c>
      <c r="N1467" s="38" t="s">
        <v>196</v>
      </c>
      <c r="O1467" s="26" t="s">
        <v>1599</v>
      </c>
      <c r="P1467" s="40">
        <f t="shared" si="198"/>
        <v>20</v>
      </c>
      <c r="Q1467" s="38" t="s">
        <v>196</v>
      </c>
      <c r="R1467" s="40">
        <f t="shared" si="199"/>
        <v>0</v>
      </c>
      <c r="S1467" s="76">
        <v>6.81</v>
      </c>
      <c r="T1467" s="38" t="s">
        <v>488</v>
      </c>
      <c r="U1467" s="26" t="s">
        <v>1582</v>
      </c>
      <c r="V1467" s="40">
        <f>V1443</f>
        <v>287</v>
      </c>
      <c r="W1467" s="38" t="s">
        <v>488</v>
      </c>
      <c r="X1467" s="40">
        <f>V1467*S1467</f>
        <v>1954.4699999999998</v>
      </c>
      <c r="Y1467" s="40"/>
      <c r="AG1467" s="47">
        <f t="shared" si="184"/>
        <v>0</v>
      </c>
    </row>
    <row r="1468" spans="6:33" ht="24" customHeight="1">
      <c r="H1468" s="26" t="s">
        <v>1236</v>
      </c>
      <c r="K1468" s="28">
        <v>5</v>
      </c>
      <c r="M1468" s="107">
        <v>0</v>
      </c>
      <c r="N1468" s="38" t="s">
        <v>196</v>
      </c>
      <c r="O1468" s="26" t="s">
        <v>1601</v>
      </c>
      <c r="P1468" s="40">
        <f t="shared" si="198"/>
        <v>15</v>
      </c>
      <c r="Q1468" s="38" t="s">
        <v>196</v>
      </c>
      <c r="R1468" s="40">
        <f t="shared" si="199"/>
        <v>0</v>
      </c>
      <c r="S1468" s="76">
        <v>0.77100000000000002</v>
      </c>
      <c r="T1468" s="38" t="s">
        <v>480</v>
      </c>
      <c r="U1468" s="26" t="s">
        <v>1588</v>
      </c>
      <c r="V1468" s="40">
        <f>V1444</f>
        <v>208.8</v>
      </c>
      <c r="W1468" s="38" t="s">
        <v>488</v>
      </c>
      <c r="X1468" s="40">
        <f>V1468*S1468</f>
        <v>160.98480000000001</v>
      </c>
      <c r="Y1468" s="40"/>
      <c r="AG1468" s="47">
        <f t="shared" si="184"/>
        <v>0</v>
      </c>
    </row>
    <row r="1469" spans="6:33" ht="24" customHeight="1">
      <c r="K1469" s="35" t="s">
        <v>48</v>
      </c>
      <c r="M1469" s="107">
        <v>1.89</v>
      </c>
      <c r="N1469" s="38" t="s">
        <v>788</v>
      </c>
      <c r="O1469" s="26" t="s">
        <v>1602</v>
      </c>
      <c r="P1469" s="40">
        <f t="shared" si="198"/>
        <v>2156</v>
      </c>
      <c r="Q1469" s="38" t="s">
        <v>788</v>
      </c>
      <c r="R1469" s="40">
        <f t="shared" si="199"/>
        <v>4074.8399999999997</v>
      </c>
      <c r="S1469" s="76">
        <v>0.77100000000000002</v>
      </c>
      <c r="T1469" s="38" t="s">
        <v>480</v>
      </c>
      <c r="U1469" s="26" t="s">
        <v>1602</v>
      </c>
      <c r="V1469" s="40">
        <f>V1445</f>
        <v>2156</v>
      </c>
      <c r="W1469" s="38" t="s">
        <v>488</v>
      </c>
      <c r="X1469" s="40">
        <f>V1469*S1469</f>
        <v>1662.2760000000001</v>
      </c>
      <c r="Y1469" s="40"/>
      <c r="AG1469" s="47">
        <f t="shared" si="184"/>
        <v>0</v>
      </c>
    </row>
    <row r="1470" spans="6:33" ht="24" customHeight="1">
      <c r="H1470" s="27" t="s">
        <v>1657</v>
      </c>
      <c r="K1470" s="40">
        <f>SUM(K1465:K1468)</f>
        <v>392.78628000000003</v>
      </c>
      <c r="N1470" s="29"/>
      <c r="O1470" s="26" t="s">
        <v>1604</v>
      </c>
      <c r="Q1470" s="33"/>
      <c r="R1470" s="40">
        <v>0.28000000000000003</v>
      </c>
      <c r="S1470" s="76"/>
      <c r="T1470" s="38"/>
      <c r="U1470" s="26"/>
      <c r="V1470" s="40"/>
      <c r="W1470" s="38"/>
      <c r="X1470" s="40">
        <f>SUM(X1467:X1469)</f>
        <v>3777.7308000000003</v>
      </c>
      <c r="Y1470" s="40"/>
      <c r="AG1470" s="47">
        <f t="shared" ref="AG1470:AG1533" si="200">AI1470</f>
        <v>0</v>
      </c>
    </row>
    <row r="1471" spans="6:33" ht="24" customHeight="1">
      <c r="K1471" s="35" t="s">
        <v>48</v>
      </c>
      <c r="R1471" s="39">
        <f>SUM(R1458:R1470)</f>
        <v>8068.5060000000003</v>
      </c>
      <c r="S1471" s="76"/>
      <c r="T1471" s="38"/>
      <c r="U1471" s="37" t="s">
        <v>1643</v>
      </c>
      <c r="V1471" s="40"/>
      <c r="W1471" s="38"/>
      <c r="X1471" s="39">
        <f>X1470/S1469</f>
        <v>4899.7805447470819</v>
      </c>
      <c r="Y1471" s="39"/>
      <c r="AG1471" s="47">
        <f t="shared" si="200"/>
        <v>0</v>
      </c>
    </row>
    <row r="1472" spans="6:33" ht="24" customHeight="1">
      <c r="H1472" s="42" t="s">
        <v>1658</v>
      </c>
      <c r="I1472" s="41"/>
      <c r="J1472" s="86"/>
      <c r="K1472" s="39">
        <f>K1470/6.77</f>
        <v>58.018652880354516</v>
      </c>
      <c r="AG1472" s="47">
        <f t="shared" si="200"/>
        <v>0</v>
      </c>
    </row>
    <row r="1473" spans="6:33" ht="24" customHeight="1">
      <c r="K1473" s="35" t="s">
        <v>41</v>
      </c>
      <c r="AG1473" s="47">
        <f t="shared" si="200"/>
        <v>0</v>
      </c>
    </row>
    <row r="1474" spans="6:33" ht="24" customHeight="1">
      <c r="K1474" s="35"/>
      <c r="N1474" s="29"/>
      <c r="O1474" s="184" t="s">
        <v>1661</v>
      </c>
      <c r="P1474" s="714" t="s">
        <v>1640</v>
      </c>
      <c r="Q1474" s="714"/>
      <c r="R1474" s="714"/>
      <c r="S1474" s="713"/>
      <c r="T1474" s="713"/>
      <c r="U1474" s="713"/>
      <c r="V1474" s="221"/>
      <c r="W1474" s="221"/>
      <c r="AG1474" s="47">
        <f t="shared" si="200"/>
        <v>0</v>
      </c>
    </row>
    <row r="1475" spans="6:33" ht="24" customHeight="1">
      <c r="K1475" s="35"/>
      <c r="M1475" s="107">
        <v>4.67</v>
      </c>
      <c r="N1475" s="38" t="s">
        <v>488</v>
      </c>
      <c r="O1475" s="96" t="s">
        <v>1628</v>
      </c>
      <c r="P1475" s="40">
        <f>P1458</f>
        <v>287</v>
      </c>
      <c r="Q1475" s="38" t="s">
        <v>488</v>
      </c>
      <c r="R1475" s="40">
        <f>P1475*M1475</f>
        <v>1340.29</v>
      </c>
      <c r="S1475" s="107"/>
      <c r="T1475" s="38"/>
      <c r="U1475" s="26"/>
      <c r="V1475" s="40"/>
      <c r="W1475" s="38"/>
      <c r="X1475" s="40"/>
      <c r="Y1475" s="40"/>
      <c r="AG1475" s="47">
        <f t="shared" si="200"/>
        <v>0</v>
      </c>
    </row>
    <row r="1476" spans="6:33" ht="24" customHeight="1">
      <c r="G1476" s="38" t="s">
        <v>1098</v>
      </c>
      <c r="H1476" s="26" t="s">
        <v>1662</v>
      </c>
      <c r="K1476" s="35"/>
      <c r="M1476" s="107">
        <v>0.54</v>
      </c>
      <c r="N1476" s="38" t="s">
        <v>480</v>
      </c>
      <c r="O1476" s="26" t="s">
        <v>1588</v>
      </c>
      <c r="P1476" s="73">
        <f>P1462</f>
        <v>208.8</v>
      </c>
      <c r="Q1476" s="38" t="s">
        <v>488</v>
      </c>
      <c r="R1476" s="40">
        <f>P1476*M1476</f>
        <v>112.75200000000001</v>
      </c>
      <c r="S1476" s="107"/>
      <c r="T1476" s="38"/>
      <c r="U1476" s="26"/>
      <c r="V1476" s="40"/>
      <c r="W1476" s="38"/>
      <c r="X1476" s="40"/>
      <c r="Y1476" s="40"/>
      <c r="AG1476" s="47">
        <f t="shared" si="200"/>
        <v>0</v>
      </c>
    </row>
    <row r="1477" spans="6:33" ht="24" customHeight="1">
      <c r="G1477" s="38" t="s">
        <v>48</v>
      </c>
      <c r="H1477" s="35" t="s">
        <v>48</v>
      </c>
      <c r="K1477" s="35"/>
      <c r="M1477" s="107">
        <v>0.54</v>
      </c>
      <c r="N1477" s="38" t="s">
        <v>480</v>
      </c>
      <c r="O1477" s="26" t="s">
        <v>1602</v>
      </c>
      <c r="P1477" s="40">
        <f>P1469</f>
        <v>2156</v>
      </c>
      <c r="Q1477" s="38" t="s">
        <v>488</v>
      </c>
      <c r="R1477" s="40">
        <f>P1477*M1477</f>
        <v>1164.24</v>
      </c>
      <c r="S1477" s="107"/>
      <c r="T1477" s="38"/>
      <c r="U1477" s="26"/>
      <c r="V1477" s="40"/>
      <c r="W1477" s="38"/>
      <c r="X1477" s="40"/>
      <c r="Y1477" s="40"/>
      <c r="AG1477" s="47">
        <f t="shared" si="200"/>
        <v>0</v>
      </c>
    </row>
    <row r="1478" spans="6:33" ht="24" customHeight="1">
      <c r="F1478" s="107">
        <v>4.7000000000000002E-3</v>
      </c>
      <c r="G1478" s="38" t="s">
        <v>249</v>
      </c>
      <c r="H1478" s="26" t="s">
        <v>1654</v>
      </c>
      <c r="I1478" s="28">
        <f>K49</f>
        <v>4558.04</v>
      </c>
      <c r="J1478" s="26" t="s">
        <v>249</v>
      </c>
      <c r="K1478" s="40">
        <f>(F1478*I1478)</f>
        <v>21.422788000000001</v>
      </c>
      <c r="M1478" s="107"/>
      <c r="N1478" s="38"/>
      <c r="O1478" s="26"/>
      <c r="P1478" s="40"/>
      <c r="Q1478" s="38"/>
      <c r="R1478" s="40">
        <f>SUM(R1475:R1477)</f>
        <v>2617.2820000000002</v>
      </c>
      <c r="S1478" s="107"/>
      <c r="T1478" s="38"/>
      <c r="U1478" s="26"/>
      <c r="W1478" s="33"/>
      <c r="X1478" s="40"/>
      <c r="Y1478" s="40"/>
      <c r="AG1478" s="47">
        <f t="shared" si="200"/>
        <v>0</v>
      </c>
    </row>
    <row r="1479" spans="6:33" ht="24" customHeight="1">
      <c r="F1479" s="40">
        <v>0.15</v>
      </c>
      <c r="G1479" s="38" t="s">
        <v>791</v>
      </c>
      <c r="H1479" s="26" t="s">
        <v>1655</v>
      </c>
      <c r="I1479" s="28">
        <f>C10</f>
        <v>1076.5999999999999</v>
      </c>
      <c r="J1479" s="26" t="s">
        <v>791</v>
      </c>
      <c r="K1479" s="40">
        <f>(F1479*I1479)</f>
        <v>161.48999999999998</v>
      </c>
      <c r="M1479" s="107"/>
      <c r="N1479" s="38"/>
      <c r="O1479" s="37" t="s">
        <v>1643</v>
      </c>
      <c r="P1479" s="40"/>
      <c r="Q1479" s="38"/>
      <c r="R1479" s="39">
        <f>R1478/M1477</f>
        <v>4846.8185185185184</v>
      </c>
      <c r="S1479" s="107"/>
      <c r="T1479" s="38"/>
      <c r="U1479" s="26"/>
      <c r="V1479" s="40"/>
      <c r="W1479" s="38"/>
      <c r="X1479" s="39"/>
      <c r="Y1479" s="39"/>
      <c r="AG1479" s="47">
        <f t="shared" si="200"/>
        <v>0</v>
      </c>
    </row>
    <row r="1480" spans="6:33" ht="24" customHeight="1">
      <c r="F1480" s="40">
        <v>0.15</v>
      </c>
      <c r="G1480" s="38" t="s">
        <v>791</v>
      </c>
      <c r="H1480" s="26" t="s">
        <v>795</v>
      </c>
      <c r="I1480" s="28">
        <f>C12</f>
        <v>702.8</v>
      </c>
      <c r="J1480" s="26" t="s">
        <v>791</v>
      </c>
      <c r="K1480" s="40">
        <f>(F1480*I1480)</f>
        <v>105.41999999999999</v>
      </c>
      <c r="M1480" s="107"/>
      <c r="N1480" s="38"/>
      <c r="O1480" s="26"/>
      <c r="P1480" s="40"/>
      <c r="Q1480" s="38"/>
      <c r="R1480" s="40"/>
      <c r="AG1480" s="47">
        <f t="shared" si="200"/>
        <v>0</v>
      </c>
    </row>
    <row r="1481" spans="6:33" ht="24" customHeight="1">
      <c r="H1481" s="26" t="s">
        <v>1236</v>
      </c>
      <c r="K1481" s="28">
        <v>5</v>
      </c>
      <c r="N1481" s="29"/>
      <c r="O1481" s="184" t="s">
        <v>1663</v>
      </c>
      <c r="P1481" s="101" t="s">
        <v>1640</v>
      </c>
      <c r="Q1481" s="31"/>
      <c r="AG1481" s="47">
        <f t="shared" si="200"/>
        <v>0</v>
      </c>
    </row>
    <row r="1482" spans="6:33" ht="24" customHeight="1">
      <c r="K1482" s="35" t="s">
        <v>48</v>
      </c>
      <c r="M1482" s="107">
        <v>7.01</v>
      </c>
      <c r="N1482" s="38" t="s">
        <v>488</v>
      </c>
      <c r="O1482" s="96" t="s">
        <v>1628</v>
      </c>
      <c r="P1482" s="40">
        <f>P1475</f>
        <v>287</v>
      </c>
      <c r="Q1482" s="38" t="s">
        <v>488</v>
      </c>
      <c r="R1482" s="40">
        <f>P1482*M1482</f>
        <v>2011.87</v>
      </c>
      <c r="S1482" s="32">
        <f>0.3028*0.3028</f>
        <v>9.1687840000000007E-2</v>
      </c>
      <c r="T1482" s="28">
        <f>60*S1482</f>
        <v>5.5012704000000001</v>
      </c>
      <c r="U1482" s="28">
        <f>4.58/10</f>
        <v>0.45800000000000002</v>
      </c>
      <c r="AG1482" s="47">
        <f t="shared" si="200"/>
        <v>0</v>
      </c>
    </row>
    <row r="1483" spans="6:33" ht="24" customHeight="1">
      <c r="H1483" s="27" t="s">
        <v>1657</v>
      </c>
      <c r="K1483" s="40">
        <f>SUM(K1478:K1481)</f>
        <v>293.33278799999994</v>
      </c>
      <c r="M1483" s="107">
        <v>0.81</v>
      </c>
      <c r="N1483" s="38" t="s">
        <v>480</v>
      </c>
      <c r="O1483" s="26" t="s">
        <v>1588</v>
      </c>
      <c r="P1483" s="73">
        <f>P1476</f>
        <v>208.8</v>
      </c>
      <c r="Q1483" s="38" t="s">
        <v>488</v>
      </c>
      <c r="R1483" s="40">
        <f>P1483*M1483</f>
        <v>169.12800000000001</v>
      </c>
      <c r="AG1483" s="47">
        <f t="shared" si="200"/>
        <v>0</v>
      </c>
    </row>
    <row r="1484" spans="6:33" ht="24" customHeight="1">
      <c r="K1484" s="35" t="s">
        <v>48</v>
      </c>
      <c r="M1484" s="107">
        <v>0.81</v>
      </c>
      <c r="N1484" s="38" t="s">
        <v>480</v>
      </c>
      <c r="O1484" s="26" t="s">
        <v>1602</v>
      </c>
      <c r="P1484" s="40">
        <f>P1477</f>
        <v>2156</v>
      </c>
      <c r="Q1484" s="38" t="s">
        <v>488</v>
      </c>
      <c r="R1484" s="40">
        <f>P1484*M1484</f>
        <v>1746.3600000000001</v>
      </c>
      <c r="AG1484" s="47">
        <f t="shared" si="200"/>
        <v>0</v>
      </c>
    </row>
    <row r="1485" spans="6:33" ht="24" customHeight="1">
      <c r="H1485" s="42" t="s">
        <v>1658</v>
      </c>
      <c r="I1485" s="41"/>
      <c r="J1485" s="86"/>
      <c r="K1485" s="39">
        <f>K1483/6.77</f>
        <v>43.328329098966023</v>
      </c>
      <c r="M1485" s="107"/>
      <c r="N1485" s="38"/>
      <c r="O1485" s="26"/>
      <c r="P1485" s="40"/>
      <c r="Q1485" s="38"/>
      <c r="R1485" s="40">
        <f>SUM(R1482:R1484)+0.68</f>
        <v>3928.038</v>
      </c>
      <c r="AG1485" s="47">
        <f t="shared" si="200"/>
        <v>0</v>
      </c>
    </row>
    <row r="1486" spans="6:33" ht="24" customHeight="1">
      <c r="K1486" s="35" t="s">
        <v>41</v>
      </c>
      <c r="M1486" s="107"/>
      <c r="N1486" s="38"/>
      <c r="O1486" s="37" t="s">
        <v>1643</v>
      </c>
      <c r="P1486" s="40"/>
      <c r="Q1486" s="38"/>
      <c r="R1486" s="39">
        <f>R1485/M1484</f>
        <v>4849.4296296296297</v>
      </c>
      <c r="AG1486" s="47">
        <f t="shared" si="200"/>
        <v>0</v>
      </c>
    </row>
    <row r="1487" spans="6:33" ht="24" customHeight="1">
      <c r="K1487" s="35"/>
      <c r="N1487" s="29"/>
      <c r="O1487" s="26"/>
      <c r="Q1487" s="33"/>
      <c r="R1487" s="40"/>
      <c r="AG1487" s="47">
        <f t="shared" si="200"/>
        <v>0</v>
      </c>
    </row>
    <row r="1488" spans="6:33" ht="24" customHeight="1">
      <c r="F1488" s="77">
        <v>37.1</v>
      </c>
      <c r="G1488" s="38" t="s">
        <v>67</v>
      </c>
      <c r="H1488" s="26" t="s">
        <v>1664</v>
      </c>
      <c r="N1488" s="29"/>
      <c r="O1488" s="184" t="s">
        <v>1665</v>
      </c>
      <c r="Q1488" s="31"/>
      <c r="AG1488" s="47">
        <f t="shared" si="200"/>
        <v>0</v>
      </c>
    </row>
    <row r="1489" spans="6:33" ht="24" customHeight="1">
      <c r="H1489" s="35" t="s">
        <v>48</v>
      </c>
      <c r="M1489" s="107">
        <v>4.42</v>
      </c>
      <c r="N1489" s="38" t="s">
        <v>488</v>
      </c>
      <c r="O1489" s="96" t="s">
        <v>1628</v>
      </c>
      <c r="P1489" s="40">
        <f>P1458</f>
        <v>287</v>
      </c>
      <c r="Q1489" s="38" t="s">
        <v>488</v>
      </c>
      <c r="R1489" s="40">
        <f>P1489*M1489</f>
        <v>1268.54</v>
      </c>
      <c r="AG1489" s="47">
        <f t="shared" si="200"/>
        <v>0</v>
      </c>
    </row>
    <row r="1490" spans="6:33" ht="24" customHeight="1">
      <c r="F1490" s="40">
        <v>0.09</v>
      </c>
      <c r="G1490" s="38" t="s">
        <v>93</v>
      </c>
      <c r="H1490" s="26" t="s">
        <v>335</v>
      </c>
      <c r="I1490" s="40">
        <f>(C84)</f>
        <v>1297</v>
      </c>
      <c r="J1490" s="26" t="s">
        <v>93</v>
      </c>
      <c r="K1490" s="40">
        <f>(F1490*I1490)</f>
        <v>116.72999999999999</v>
      </c>
      <c r="M1490" s="107">
        <v>4.72</v>
      </c>
      <c r="N1490" s="38" t="s">
        <v>488</v>
      </c>
      <c r="O1490" s="96" t="s">
        <v>1628</v>
      </c>
      <c r="P1490" s="40">
        <f t="shared" ref="P1490:P1500" si="201">P1459</f>
        <v>287</v>
      </c>
      <c r="Q1490" s="38" t="s">
        <v>488</v>
      </c>
      <c r="R1490" s="40">
        <f t="shared" ref="R1490:R1500" si="202">P1490*M1490</f>
        <v>1354.6399999999999</v>
      </c>
      <c r="AG1490" s="47">
        <f t="shared" si="200"/>
        <v>0</v>
      </c>
    </row>
    <row r="1491" spans="6:33" ht="24" customHeight="1">
      <c r="F1491" s="40">
        <v>2.2000000000000002</v>
      </c>
      <c r="G1491" s="38" t="s">
        <v>105</v>
      </c>
      <c r="H1491" s="26" t="s">
        <v>269</v>
      </c>
      <c r="I1491" s="40">
        <f>(C11)</f>
        <v>1005.1999999999999</v>
      </c>
      <c r="J1491" s="26" t="s">
        <v>105</v>
      </c>
      <c r="K1491" s="40">
        <f>(F1491*I1491)</f>
        <v>2211.44</v>
      </c>
      <c r="M1491" s="107">
        <v>9.06</v>
      </c>
      <c r="N1491" s="38" t="s">
        <v>488</v>
      </c>
      <c r="O1491" s="26" t="s">
        <v>1582</v>
      </c>
      <c r="P1491" s="40">
        <f t="shared" si="201"/>
        <v>287</v>
      </c>
      <c r="Q1491" s="38" t="s">
        <v>488</v>
      </c>
      <c r="R1491" s="40">
        <f t="shared" si="202"/>
        <v>2600.2200000000003</v>
      </c>
      <c r="AG1491" s="47">
        <f t="shared" si="200"/>
        <v>0</v>
      </c>
    </row>
    <row r="1492" spans="6:33" ht="24" customHeight="1">
      <c r="F1492" s="40">
        <v>0.5</v>
      </c>
      <c r="G1492" s="38" t="s">
        <v>105</v>
      </c>
      <c r="H1492" s="26" t="s">
        <v>271</v>
      </c>
      <c r="I1492" s="40">
        <f>(C12)</f>
        <v>702.8</v>
      </c>
      <c r="J1492" s="26" t="s">
        <v>105</v>
      </c>
      <c r="K1492" s="40">
        <f>(F1492*I1492)</f>
        <v>351.4</v>
      </c>
      <c r="M1492" s="107">
        <v>1.58</v>
      </c>
      <c r="N1492" s="38" t="s">
        <v>488</v>
      </c>
      <c r="O1492" s="26" t="s">
        <v>1582</v>
      </c>
      <c r="P1492" s="40">
        <f t="shared" si="201"/>
        <v>287</v>
      </c>
      <c r="Q1492" s="38" t="s">
        <v>488</v>
      </c>
      <c r="R1492" s="40">
        <f t="shared" si="202"/>
        <v>453.46000000000004</v>
      </c>
      <c r="AG1492" s="47">
        <f t="shared" si="200"/>
        <v>0</v>
      </c>
    </row>
    <row r="1493" spans="6:33" ht="24" customHeight="1">
      <c r="F1493" s="40">
        <v>3.8</v>
      </c>
      <c r="G1493" s="38" t="s">
        <v>105</v>
      </c>
      <c r="H1493" s="26" t="s">
        <v>276</v>
      </c>
      <c r="I1493" s="40">
        <f>(C13)</f>
        <v>576.79999999999995</v>
      </c>
      <c r="J1493" s="26" t="s">
        <v>105</v>
      </c>
      <c r="K1493" s="40">
        <f>(F1493*I1493)</f>
        <v>2191.8399999999997</v>
      </c>
      <c r="M1493" s="107">
        <v>1.65</v>
      </c>
      <c r="N1493" s="38" t="s">
        <v>480</v>
      </c>
      <c r="O1493" s="26" t="s">
        <v>1588</v>
      </c>
      <c r="P1493" s="40">
        <f t="shared" si="201"/>
        <v>208.8</v>
      </c>
      <c r="Q1493" s="38" t="s">
        <v>480</v>
      </c>
      <c r="R1493" s="40">
        <f t="shared" si="202"/>
        <v>344.52</v>
      </c>
      <c r="AG1493" s="47">
        <f t="shared" si="200"/>
        <v>0</v>
      </c>
    </row>
    <row r="1494" spans="6:33" ht="24" customHeight="1">
      <c r="G1494" s="38" t="s">
        <v>106</v>
      </c>
      <c r="H1494" s="26" t="s">
        <v>1666</v>
      </c>
      <c r="I1494" s="26" t="s">
        <v>27</v>
      </c>
      <c r="J1494" s="26" t="s">
        <v>106</v>
      </c>
      <c r="K1494" s="40">
        <v>1.5</v>
      </c>
      <c r="M1494" s="107">
        <v>12.74</v>
      </c>
      <c r="N1494" s="38" t="s">
        <v>1125</v>
      </c>
      <c r="O1494" s="26" t="str">
        <f>O1463</f>
        <v>rubber beeding P-41/64</v>
      </c>
      <c r="P1494" s="40">
        <f t="shared" si="201"/>
        <v>28.6</v>
      </c>
      <c r="Q1494" s="38" t="s">
        <v>1125</v>
      </c>
      <c r="R1494" s="40">
        <f t="shared" si="202"/>
        <v>364.36400000000003</v>
      </c>
      <c r="AG1494" s="47">
        <f t="shared" si="200"/>
        <v>0</v>
      </c>
    </row>
    <row r="1495" spans="6:33" ht="24" customHeight="1">
      <c r="K1495" s="35" t="s">
        <v>48</v>
      </c>
      <c r="M1495" s="107">
        <v>12</v>
      </c>
      <c r="N1495" s="38" t="s">
        <v>196</v>
      </c>
      <c r="O1495" s="26" t="str">
        <f>O1464</f>
        <v>hinges 75mm x 30 mm P-41/77 b</v>
      </c>
      <c r="P1495" s="40">
        <f t="shared" si="201"/>
        <v>63.5</v>
      </c>
      <c r="Q1495" s="38" t="s">
        <v>196</v>
      </c>
      <c r="R1495" s="40">
        <f t="shared" si="202"/>
        <v>762</v>
      </c>
      <c r="AG1495" s="47">
        <f t="shared" si="200"/>
        <v>0</v>
      </c>
    </row>
    <row r="1496" spans="6:33" ht="24" customHeight="1">
      <c r="H1496" s="26" t="s">
        <v>605</v>
      </c>
      <c r="K1496" s="40">
        <f>SUM(K1489:K1494)</f>
        <v>4872.91</v>
      </c>
      <c r="M1496" s="107">
        <v>6</v>
      </c>
      <c r="N1496" s="38" t="s">
        <v>196</v>
      </c>
      <c r="O1496" s="26" t="str">
        <f>O1465</f>
        <v>handle 150 mm long p-42 /80b</v>
      </c>
      <c r="P1496" s="40">
        <f t="shared" si="201"/>
        <v>50.9</v>
      </c>
      <c r="Q1496" s="38" t="s">
        <v>196</v>
      </c>
      <c r="R1496" s="40">
        <f t="shared" si="202"/>
        <v>305.39999999999998</v>
      </c>
      <c r="AG1496" s="47">
        <f t="shared" si="200"/>
        <v>0</v>
      </c>
    </row>
    <row r="1497" spans="6:33" ht="24" customHeight="1">
      <c r="K1497" s="35" t="s">
        <v>48</v>
      </c>
      <c r="M1497" s="107">
        <v>6</v>
      </c>
      <c r="N1497" s="38" t="s">
        <v>196</v>
      </c>
      <c r="O1497" s="26" t="s">
        <v>1598</v>
      </c>
      <c r="P1497" s="40">
        <f t="shared" si="201"/>
        <v>30</v>
      </c>
      <c r="Q1497" s="38" t="s">
        <v>196</v>
      </c>
      <c r="R1497" s="40">
        <f t="shared" si="202"/>
        <v>180</v>
      </c>
      <c r="AG1497" s="47">
        <f t="shared" si="200"/>
        <v>0</v>
      </c>
    </row>
    <row r="1498" spans="6:33" ht="24" customHeight="1">
      <c r="H1498" s="42" t="s">
        <v>403</v>
      </c>
      <c r="I1498" s="41"/>
      <c r="J1498" s="86"/>
      <c r="K1498" s="39">
        <f>(K1496/100)</f>
        <v>48.729099999999995</v>
      </c>
      <c r="M1498" s="107">
        <v>6</v>
      </c>
      <c r="N1498" s="38" t="s">
        <v>196</v>
      </c>
      <c r="O1498" s="26" t="s">
        <v>1599</v>
      </c>
      <c r="P1498" s="40">
        <f t="shared" si="201"/>
        <v>20</v>
      </c>
      <c r="Q1498" s="38" t="s">
        <v>196</v>
      </c>
      <c r="R1498" s="40">
        <f t="shared" si="202"/>
        <v>120</v>
      </c>
      <c r="AG1498" s="47">
        <f t="shared" si="200"/>
        <v>0</v>
      </c>
    </row>
    <row r="1499" spans="6:33" ht="24" customHeight="1">
      <c r="K1499" s="35" t="s">
        <v>41</v>
      </c>
      <c r="M1499" s="107">
        <v>4</v>
      </c>
      <c r="N1499" s="38" t="s">
        <v>196</v>
      </c>
      <c r="O1499" s="26" t="s">
        <v>1601</v>
      </c>
      <c r="P1499" s="40">
        <f t="shared" si="201"/>
        <v>15</v>
      </c>
      <c r="Q1499" s="38" t="s">
        <v>196</v>
      </c>
      <c r="R1499" s="40">
        <f t="shared" si="202"/>
        <v>60</v>
      </c>
      <c r="AG1499" s="47">
        <f t="shared" si="200"/>
        <v>0</v>
      </c>
    </row>
    <row r="1500" spans="6:33" ht="24" customHeight="1">
      <c r="F1500" s="27" t="s">
        <v>1667</v>
      </c>
      <c r="G1500" s="38" t="s">
        <v>67</v>
      </c>
      <c r="H1500" s="26" t="s">
        <v>1668</v>
      </c>
      <c r="M1500" s="107">
        <f>1.5*1.35</f>
        <v>2.0250000000000004</v>
      </c>
      <c r="N1500" s="38" t="s">
        <v>788</v>
      </c>
      <c r="O1500" s="26" t="s">
        <v>1602</v>
      </c>
      <c r="P1500" s="40">
        <f t="shared" si="201"/>
        <v>2156</v>
      </c>
      <c r="Q1500" s="38" t="s">
        <v>788</v>
      </c>
      <c r="R1500" s="40">
        <f t="shared" si="202"/>
        <v>4365.9000000000005</v>
      </c>
      <c r="AG1500" s="47">
        <f t="shared" si="200"/>
        <v>0</v>
      </c>
    </row>
    <row r="1501" spans="6:33" ht="24" customHeight="1">
      <c r="H1501" s="26" t="s">
        <v>1669</v>
      </c>
      <c r="N1501" s="29"/>
      <c r="O1501" s="26" t="s">
        <v>1604</v>
      </c>
      <c r="Q1501" s="33"/>
      <c r="R1501" s="40">
        <v>0.31</v>
      </c>
      <c r="AG1501" s="47">
        <f t="shared" si="200"/>
        <v>0</v>
      </c>
    </row>
    <row r="1502" spans="6:33" ht="24" customHeight="1">
      <c r="H1502" s="26" t="s">
        <v>1670</v>
      </c>
      <c r="R1502" s="39">
        <f>SUM(R1489:R1501)</f>
        <v>12179.353999999998</v>
      </c>
      <c r="AG1502" s="47">
        <f t="shared" si="200"/>
        <v>0</v>
      </c>
    </row>
    <row r="1503" spans="6:33" ht="24" customHeight="1">
      <c r="H1503" s="26" t="s">
        <v>1671</v>
      </c>
      <c r="AG1503" s="47">
        <f t="shared" si="200"/>
        <v>0</v>
      </c>
    </row>
    <row r="1504" spans="6:33" ht="24" customHeight="1">
      <c r="H1504" s="35" t="s">
        <v>48</v>
      </c>
      <c r="AG1504" s="47">
        <f t="shared" si="200"/>
        <v>0</v>
      </c>
    </row>
    <row r="1505" spans="6:33" ht="24" customHeight="1">
      <c r="F1505" s="40">
        <v>4.8</v>
      </c>
      <c r="G1505" s="38" t="s">
        <v>392</v>
      </c>
      <c r="H1505" s="26" t="s">
        <v>1672</v>
      </c>
      <c r="I1505" s="40">
        <f>(C271)</f>
        <v>48.95</v>
      </c>
      <c r="J1505" s="26" t="s">
        <v>392</v>
      </c>
      <c r="K1505" s="40">
        <f>(F1505*I1505)</f>
        <v>234.96</v>
      </c>
      <c r="AG1505" s="47">
        <f t="shared" si="200"/>
        <v>0</v>
      </c>
    </row>
    <row r="1506" spans="6:33" ht="24" customHeight="1">
      <c r="F1506" s="40">
        <v>0.75</v>
      </c>
      <c r="G1506" s="38" t="s">
        <v>105</v>
      </c>
      <c r="H1506" s="26" t="s">
        <v>1673</v>
      </c>
      <c r="I1506" s="40">
        <f>(C14)</f>
        <v>861</v>
      </c>
      <c r="J1506" s="26" t="s">
        <v>105</v>
      </c>
      <c r="K1506" s="40">
        <f>(F1506*I1506)</f>
        <v>645.75</v>
      </c>
      <c r="AG1506" s="47">
        <f t="shared" si="200"/>
        <v>0</v>
      </c>
    </row>
    <row r="1507" spans="6:33" ht="24" customHeight="1">
      <c r="F1507" s="40">
        <v>0.75</v>
      </c>
      <c r="G1507" s="38" t="s">
        <v>105</v>
      </c>
      <c r="H1507" s="26" t="s">
        <v>1482</v>
      </c>
      <c r="I1507" s="40">
        <f>(C12)</f>
        <v>702.8</v>
      </c>
      <c r="J1507" s="26" t="s">
        <v>105</v>
      </c>
      <c r="K1507" s="40">
        <f>(F1507*I1507)</f>
        <v>527.09999999999991</v>
      </c>
      <c r="AG1507" s="47">
        <f t="shared" si="200"/>
        <v>0</v>
      </c>
    </row>
    <row r="1508" spans="6:33" ht="24" customHeight="1">
      <c r="F1508" s="40">
        <v>1.2</v>
      </c>
      <c r="G1508" s="38" t="s">
        <v>105</v>
      </c>
      <c r="H1508" s="26" t="s">
        <v>276</v>
      </c>
      <c r="I1508" s="40">
        <f>(C13)</f>
        <v>576.79999999999995</v>
      </c>
      <c r="J1508" s="26" t="s">
        <v>105</v>
      </c>
      <c r="K1508" s="40">
        <f>(F1508*I1508)</f>
        <v>692.16</v>
      </c>
      <c r="AG1508" s="47">
        <f t="shared" si="200"/>
        <v>0</v>
      </c>
    </row>
    <row r="1509" spans="6:33" ht="24" customHeight="1">
      <c r="G1509" s="38" t="s">
        <v>106</v>
      </c>
      <c r="H1509" s="26" t="s">
        <v>603</v>
      </c>
      <c r="I1509" s="26" t="s">
        <v>27</v>
      </c>
      <c r="J1509" s="26" t="s">
        <v>106</v>
      </c>
      <c r="K1509" s="40">
        <v>1.5</v>
      </c>
      <c r="AG1509" s="47">
        <f t="shared" si="200"/>
        <v>0</v>
      </c>
    </row>
    <row r="1510" spans="6:33" ht="24" customHeight="1">
      <c r="K1510" s="35" t="s">
        <v>48</v>
      </c>
      <c r="AG1510" s="47">
        <f t="shared" si="200"/>
        <v>0</v>
      </c>
    </row>
    <row r="1511" spans="6:33" ht="24" customHeight="1">
      <c r="H1511" s="26" t="s">
        <v>401</v>
      </c>
      <c r="K1511" s="40">
        <f>SUM(K1505:K1509)</f>
        <v>2101.4699999999998</v>
      </c>
      <c r="AG1511" s="47">
        <f t="shared" si="200"/>
        <v>0</v>
      </c>
    </row>
    <row r="1512" spans="6:33" ht="24" customHeight="1">
      <c r="K1512" s="35" t="s">
        <v>48</v>
      </c>
      <c r="AG1512" s="47">
        <f t="shared" si="200"/>
        <v>0</v>
      </c>
    </row>
    <row r="1513" spans="6:33" ht="24" customHeight="1">
      <c r="H1513" s="42" t="s">
        <v>403</v>
      </c>
      <c r="I1513" s="41"/>
      <c r="J1513" s="86"/>
      <c r="K1513" s="39">
        <f>(K1511/10)</f>
        <v>210.14699999999999</v>
      </c>
      <c r="AG1513" s="47">
        <f t="shared" si="200"/>
        <v>0</v>
      </c>
    </row>
    <row r="1514" spans="6:33" ht="24" customHeight="1">
      <c r="K1514" s="35" t="s">
        <v>41</v>
      </c>
      <c r="AG1514" s="47">
        <f t="shared" si="200"/>
        <v>0</v>
      </c>
    </row>
    <row r="1515" spans="6:33" ht="24" customHeight="1">
      <c r="F1515" s="27" t="s">
        <v>1674</v>
      </c>
      <c r="G1515" s="38" t="s">
        <v>67</v>
      </c>
      <c r="H1515" s="27" t="s">
        <v>1675</v>
      </c>
      <c r="AG1515" s="47">
        <f t="shared" si="200"/>
        <v>0</v>
      </c>
    </row>
    <row r="1516" spans="6:33" ht="24" customHeight="1">
      <c r="H1516" s="27" t="s">
        <v>611</v>
      </c>
      <c r="M1516" s="27"/>
      <c r="N1516" s="38" t="s">
        <v>67</v>
      </c>
      <c r="O1516" s="26" t="s">
        <v>1676</v>
      </c>
      <c r="Q1516" s="31"/>
      <c r="AG1516" s="47">
        <f t="shared" si="200"/>
        <v>0</v>
      </c>
    </row>
    <row r="1517" spans="6:33" ht="24" customHeight="1">
      <c r="F1517" s="40">
        <v>3.08</v>
      </c>
      <c r="G1517" s="38" t="s">
        <v>1677</v>
      </c>
      <c r="H1517" s="26" t="s">
        <v>1678</v>
      </c>
      <c r="I1517" s="40">
        <f>E271</f>
        <v>155</v>
      </c>
      <c r="J1517" s="26" t="s">
        <v>1677</v>
      </c>
      <c r="K1517" s="40">
        <f>(F1517*I1517)</f>
        <v>477.40000000000003</v>
      </c>
      <c r="N1517" s="29"/>
      <c r="O1517" s="26" t="s">
        <v>1669</v>
      </c>
      <c r="Q1517" s="31"/>
      <c r="AG1517" s="47">
        <f t="shared" si="200"/>
        <v>0</v>
      </c>
    </row>
    <row r="1518" spans="6:33" ht="24" customHeight="1">
      <c r="F1518" s="40">
        <v>0.5</v>
      </c>
      <c r="G1518" s="38" t="s">
        <v>791</v>
      </c>
      <c r="H1518" s="26" t="s">
        <v>1679</v>
      </c>
      <c r="I1518" s="40">
        <f>C14</f>
        <v>861</v>
      </c>
      <c r="J1518" s="26" t="s">
        <v>791</v>
      </c>
      <c r="K1518" s="40">
        <f>(F1518*I1518)</f>
        <v>430.5</v>
      </c>
      <c r="N1518" s="29"/>
      <c r="O1518" s="26" t="s">
        <v>1670</v>
      </c>
      <c r="Q1518" s="31"/>
      <c r="AG1518" s="47">
        <f t="shared" si="200"/>
        <v>0</v>
      </c>
    </row>
    <row r="1519" spans="6:33" ht="24" customHeight="1">
      <c r="F1519" s="40">
        <v>0.5</v>
      </c>
      <c r="G1519" s="38" t="s">
        <v>791</v>
      </c>
      <c r="H1519" s="26" t="s">
        <v>795</v>
      </c>
      <c r="I1519" s="40">
        <f>C12</f>
        <v>702.8</v>
      </c>
      <c r="J1519" s="26" t="s">
        <v>791</v>
      </c>
      <c r="K1519" s="40">
        <f>(F1519*I1519)</f>
        <v>351.4</v>
      </c>
      <c r="N1519" s="29"/>
      <c r="O1519" s="26" t="s">
        <v>1671</v>
      </c>
      <c r="Q1519" s="31"/>
      <c r="AG1519" s="47">
        <f t="shared" si="200"/>
        <v>0</v>
      </c>
    </row>
    <row r="1520" spans="6:33" ht="24" customHeight="1">
      <c r="F1520" s="40">
        <v>0.8</v>
      </c>
      <c r="G1520" s="38" t="s">
        <v>791</v>
      </c>
      <c r="H1520" s="26" t="s">
        <v>1680</v>
      </c>
      <c r="I1520" s="40">
        <f>C13</f>
        <v>576.79999999999995</v>
      </c>
      <c r="J1520" s="26" t="s">
        <v>791</v>
      </c>
      <c r="K1520" s="40">
        <f>(F1520*I1520)</f>
        <v>461.44</v>
      </c>
      <c r="N1520" s="29"/>
      <c r="O1520" s="35" t="s">
        <v>48</v>
      </c>
      <c r="Q1520" s="31"/>
      <c r="AG1520" s="47">
        <f t="shared" si="200"/>
        <v>0</v>
      </c>
    </row>
    <row r="1521" spans="6:33" ht="24" customHeight="1">
      <c r="G1521" s="38" t="s">
        <v>106</v>
      </c>
      <c r="H1521" s="26" t="s">
        <v>603</v>
      </c>
      <c r="J1521" s="26" t="s">
        <v>106</v>
      </c>
      <c r="K1521" s="40">
        <v>1.5</v>
      </c>
      <c r="M1521" s="40">
        <v>2.1800000000000002</v>
      </c>
      <c r="N1521" s="38" t="s">
        <v>392</v>
      </c>
      <c r="O1521" s="26" t="s">
        <v>1681</v>
      </c>
      <c r="P1521" s="40">
        <v>70</v>
      </c>
      <c r="Q1521" s="26" t="s">
        <v>392</v>
      </c>
      <c r="R1521" s="40">
        <f>M1521*P1521</f>
        <v>152.60000000000002</v>
      </c>
      <c r="AG1521" s="47">
        <f t="shared" si="200"/>
        <v>0</v>
      </c>
    </row>
    <row r="1522" spans="6:33" ht="24" customHeight="1">
      <c r="M1522" s="40">
        <v>0.75</v>
      </c>
      <c r="N1522" s="38" t="s">
        <v>105</v>
      </c>
      <c r="O1522" s="26" t="s">
        <v>1673</v>
      </c>
      <c r="P1522" s="40">
        <f>C14</f>
        <v>861</v>
      </c>
      <c r="Q1522" s="26" t="s">
        <v>105</v>
      </c>
      <c r="R1522" s="40">
        <f>M1522*P1522</f>
        <v>645.75</v>
      </c>
      <c r="AG1522" s="47">
        <f t="shared" si="200"/>
        <v>0</v>
      </c>
    </row>
    <row r="1523" spans="6:33" ht="24" customHeight="1">
      <c r="K1523" s="35" t="s">
        <v>48</v>
      </c>
      <c r="M1523" s="40">
        <v>0.75</v>
      </c>
      <c r="N1523" s="38" t="s">
        <v>105</v>
      </c>
      <c r="O1523" s="26" t="s">
        <v>1482</v>
      </c>
      <c r="P1523" s="40">
        <f>C12</f>
        <v>702.8</v>
      </c>
      <c r="Q1523" s="26" t="s">
        <v>105</v>
      </c>
      <c r="R1523" s="40">
        <f>M1523*P1523</f>
        <v>527.09999999999991</v>
      </c>
      <c r="AG1523" s="47">
        <f t="shared" si="200"/>
        <v>0</v>
      </c>
    </row>
    <row r="1524" spans="6:33" ht="24" customHeight="1">
      <c r="H1524" s="27" t="s">
        <v>1682</v>
      </c>
      <c r="K1524" s="40">
        <f>SUM(K1517:K1521)</f>
        <v>1722.2400000000002</v>
      </c>
      <c r="M1524" s="40">
        <v>1.2</v>
      </c>
      <c r="N1524" s="38" t="s">
        <v>105</v>
      </c>
      <c r="O1524" s="26" t="s">
        <v>276</v>
      </c>
      <c r="P1524" s="40">
        <f>C13</f>
        <v>576.79999999999995</v>
      </c>
      <c r="Q1524" s="26" t="s">
        <v>105</v>
      </c>
      <c r="R1524" s="40">
        <f>M1524*P1524</f>
        <v>692.16</v>
      </c>
      <c r="AG1524" s="47">
        <f t="shared" si="200"/>
        <v>0</v>
      </c>
    </row>
    <row r="1525" spans="6:33" ht="24" customHeight="1">
      <c r="K1525" s="35" t="s">
        <v>48</v>
      </c>
      <c r="N1525" s="38" t="s">
        <v>106</v>
      </c>
      <c r="O1525" s="26" t="s">
        <v>603</v>
      </c>
      <c r="P1525" s="26" t="s">
        <v>27</v>
      </c>
      <c r="Q1525" s="26" t="s">
        <v>106</v>
      </c>
      <c r="R1525" s="40">
        <v>1.5</v>
      </c>
      <c r="AG1525" s="47">
        <f t="shared" si="200"/>
        <v>0</v>
      </c>
    </row>
    <row r="1526" spans="6:33" ht="24" customHeight="1">
      <c r="F1526" s="26" t="s">
        <v>27</v>
      </c>
      <c r="G1526" s="38" t="s">
        <v>27</v>
      </c>
      <c r="H1526" s="42" t="s">
        <v>1468</v>
      </c>
      <c r="I1526" s="30" t="s">
        <v>27</v>
      </c>
      <c r="J1526" s="30" t="s">
        <v>27</v>
      </c>
      <c r="K1526" s="39">
        <f>K1524/10</f>
        <v>172.22400000000002</v>
      </c>
      <c r="N1526" s="29"/>
      <c r="Q1526" s="31"/>
      <c r="R1526" s="35" t="s">
        <v>48</v>
      </c>
      <c r="AG1526" s="47">
        <f t="shared" si="200"/>
        <v>0</v>
      </c>
    </row>
    <row r="1527" spans="6:33" ht="24" customHeight="1">
      <c r="K1527" s="35" t="s">
        <v>41</v>
      </c>
      <c r="N1527" s="29"/>
      <c r="O1527" s="26" t="s">
        <v>401</v>
      </c>
      <c r="Q1527" s="31"/>
      <c r="R1527" s="40">
        <f>SUM(R1521:R1525)</f>
        <v>2019.1099999999997</v>
      </c>
      <c r="AG1527" s="47">
        <f t="shared" si="200"/>
        <v>0</v>
      </c>
    </row>
    <row r="1528" spans="6:33" ht="24" customHeight="1">
      <c r="F1528" s="27" t="s">
        <v>1553</v>
      </c>
      <c r="G1528" s="38" t="s">
        <v>67</v>
      </c>
      <c r="H1528" s="26" t="s">
        <v>1683</v>
      </c>
      <c r="N1528" s="29"/>
      <c r="Q1528" s="31"/>
      <c r="R1528" s="35" t="s">
        <v>48</v>
      </c>
      <c r="AG1528" s="47">
        <f t="shared" si="200"/>
        <v>0</v>
      </c>
    </row>
    <row r="1529" spans="6:33" ht="24" customHeight="1">
      <c r="H1529" s="26" t="s">
        <v>1684</v>
      </c>
      <c r="N1529" s="29"/>
      <c r="O1529" s="26" t="s">
        <v>403</v>
      </c>
      <c r="Q1529" s="31"/>
      <c r="R1529" s="40">
        <f>(R1527/10)</f>
        <v>201.91099999999997</v>
      </c>
      <c r="AG1529" s="47">
        <f t="shared" si="200"/>
        <v>0</v>
      </c>
    </row>
    <row r="1530" spans="6:33" ht="24" customHeight="1">
      <c r="H1530" s="26" t="s">
        <v>1685</v>
      </c>
      <c r="N1530" s="29"/>
      <c r="Q1530" s="31"/>
      <c r="R1530" s="35" t="s">
        <v>41</v>
      </c>
      <c r="AG1530" s="47">
        <f t="shared" si="200"/>
        <v>0</v>
      </c>
    </row>
    <row r="1531" spans="6:33" ht="24" customHeight="1">
      <c r="H1531" s="35" t="s">
        <v>48</v>
      </c>
      <c r="L1531" s="222"/>
      <c r="M1531" s="223"/>
      <c r="N1531" s="711" t="s">
        <v>1686</v>
      </c>
      <c r="O1531" s="711"/>
      <c r="P1531" s="711"/>
      <c r="Q1531" s="711"/>
      <c r="R1531" s="711"/>
      <c r="AG1531" s="47">
        <f t="shared" si="200"/>
        <v>0</v>
      </c>
    </row>
    <row r="1532" spans="6:33" ht="24" customHeight="1">
      <c r="F1532" s="40">
        <v>1.44</v>
      </c>
      <c r="G1532" s="38" t="s">
        <v>1543</v>
      </c>
      <c r="H1532" s="26" t="s">
        <v>1687</v>
      </c>
      <c r="I1532" s="40">
        <f>(C196)</f>
        <v>144.69999999999999</v>
      </c>
      <c r="J1532" s="26" t="s">
        <v>1543</v>
      </c>
      <c r="K1532" s="40">
        <f>(F1532*I1532)</f>
        <v>208.36799999999997</v>
      </c>
      <c r="L1532" s="224"/>
      <c r="M1532" s="225"/>
      <c r="N1532" s="226"/>
      <c r="O1532" s="227" t="s">
        <v>1688</v>
      </c>
      <c r="P1532" s="228"/>
      <c r="Q1532" s="226"/>
      <c r="R1532" s="228"/>
      <c r="AG1532" s="47">
        <f t="shared" si="200"/>
        <v>0</v>
      </c>
    </row>
    <row r="1533" spans="6:33" ht="24" customHeight="1">
      <c r="F1533" s="40">
        <v>0.7</v>
      </c>
      <c r="G1533" s="38" t="s">
        <v>196</v>
      </c>
      <c r="H1533" s="26" t="s">
        <v>1545</v>
      </c>
      <c r="I1533" s="40">
        <f>(C14)</f>
        <v>861</v>
      </c>
      <c r="J1533" s="26" t="s">
        <v>196</v>
      </c>
      <c r="K1533" s="40">
        <f>(F1533*I1533)</f>
        <v>602.69999999999993</v>
      </c>
      <c r="L1533" s="224"/>
      <c r="M1533" s="225"/>
      <c r="N1533" s="226"/>
      <c r="O1533" s="229"/>
      <c r="P1533" s="228"/>
      <c r="Q1533" s="226"/>
      <c r="R1533" s="228"/>
      <c r="AG1533" s="47">
        <f t="shared" si="200"/>
        <v>0</v>
      </c>
    </row>
    <row r="1534" spans="6:33" ht="24" customHeight="1">
      <c r="F1534" s="40">
        <v>2.5499999999999998</v>
      </c>
      <c r="G1534" s="38" t="s">
        <v>1543</v>
      </c>
      <c r="H1534" s="26" t="s">
        <v>1689</v>
      </c>
      <c r="I1534" s="40">
        <f>(C195)</f>
        <v>234.3</v>
      </c>
      <c r="J1534" s="26" t="s">
        <v>1543</v>
      </c>
      <c r="K1534" s="40">
        <f>(F1534*I1534)</f>
        <v>597.46500000000003</v>
      </c>
      <c r="L1534" s="224"/>
      <c r="M1534" s="225"/>
      <c r="N1534" s="226"/>
      <c r="O1534" s="229"/>
      <c r="P1534" s="228"/>
      <c r="Q1534" s="226"/>
      <c r="R1534" s="228"/>
      <c r="AG1534" s="47">
        <f t="shared" ref="AG1534:AG1597" si="203">AI1534</f>
        <v>0</v>
      </c>
    </row>
    <row r="1535" spans="6:33" ht="24" customHeight="1">
      <c r="F1535" s="40">
        <v>1.2</v>
      </c>
      <c r="G1535" s="38" t="s">
        <v>196</v>
      </c>
      <c r="H1535" s="26" t="s">
        <v>1545</v>
      </c>
      <c r="I1535" s="40">
        <f>(C14)</f>
        <v>861</v>
      </c>
      <c r="J1535" s="26" t="s">
        <v>196</v>
      </c>
      <c r="K1535" s="40">
        <f>(F1535*I1535)</f>
        <v>1033.2</v>
      </c>
      <c r="L1535" s="224"/>
      <c r="M1535" s="225">
        <v>19.13</v>
      </c>
      <c r="N1535" s="226" t="s">
        <v>488</v>
      </c>
      <c r="O1535" s="229" t="s">
        <v>1690</v>
      </c>
      <c r="P1535" s="228">
        <f>P1489</f>
        <v>287</v>
      </c>
      <c r="Q1535" s="226" t="s">
        <v>488</v>
      </c>
      <c r="R1535" s="228">
        <f>P1535*M1535</f>
        <v>5490.3099999999995</v>
      </c>
      <c r="AG1535" s="47">
        <f t="shared" si="203"/>
        <v>0</v>
      </c>
    </row>
    <row r="1536" spans="6:33" ht="24" customHeight="1">
      <c r="G1536" s="38" t="s">
        <v>106</v>
      </c>
      <c r="H1536" s="26" t="s">
        <v>1452</v>
      </c>
      <c r="I1536" s="26" t="s">
        <v>27</v>
      </c>
      <c r="J1536" s="26" t="s">
        <v>106</v>
      </c>
      <c r="K1536" s="40">
        <v>1.5</v>
      </c>
      <c r="L1536" s="224"/>
      <c r="M1536" s="225">
        <v>2.97</v>
      </c>
      <c r="N1536" s="226" t="s">
        <v>480</v>
      </c>
      <c r="O1536" s="229" t="s">
        <v>1691</v>
      </c>
      <c r="P1536" s="228">
        <f>P1493</f>
        <v>208.8</v>
      </c>
      <c r="Q1536" s="226" t="s">
        <v>480</v>
      </c>
      <c r="R1536" s="228">
        <f t="shared" ref="R1536:R1541" si="204">P1536*M1536</f>
        <v>620.13600000000008</v>
      </c>
      <c r="AG1536" s="47">
        <f t="shared" si="203"/>
        <v>0</v>
      </c>
    </row>
    <row r="1537" spans="6:33" ht="24" customHeight="1">
      <c r="K1537" s="35" t="s">
        <v>48</v>
      </c>
      <c r="L1537" s="224"/>
      <c r="M1537" s="225">
        <v>15.3</v>
      </c>
      <c r="N1537" s="226" t="s">
        <v>1125</v>
      </c>
      <c r="O1537" s="229" t="s">
        <v>1692</v>
      </c>
      <c r="P1537" s="228">
        <f>P1494</f>
        <v>28.6</v>
      </c>
      <c r="Q1537" s="226" t="s">
        <v>1125</v>
      </c>
      <c r="R1537" s="228">
        <f t="shared" si="204"/>
        <v>437.58000000000004</v>
      </c>
      <c r="AG1537" s="47">
        <f t="shared" si="203"/>
        <v>0</v>
      </c>
    </row>
    <row r="1538" spans="6:33" ht="24" customHeight="1">
      <c r="H1538" s="26" t="s">
        <v>401</v>
      </c>
      <c r="K1538" s="40">
        <f>SUM(K1532:K1536)</f>
        <v>2443.2330000000002</v>
      </c>
      <c r="L1538" s="224"/>
      <c r="M1538" s="225">
        <v>3</v>
      </c>
      <c r="N1538" s="226" t="s">
        <v>1693</v>
      </c>
      <c r="O1538" s="229" t="s">
        <v>1694</v>
      </c>
      <c r="P1538" s="228">
        <f>I4009</f>
        <v>350</v>
      </c>
      <c r="Q1538" s="226" t="s">
        <v>196</v>
      </c>
      <c r="R1538" s="228">
        <f t="shared" si="204"/>
        <v>1050</v>
      </c>
      <c r="AG1538" s="47">
        <f t="shared" si="203"/>
        <v>0</v>
      </c>
    </row>
    <row r="1539" spans="6:33" ht="24" customHeight="1">
      <c r="K1539" s="35" t="s">
        <v>48</v>
      </c>
      <c r="L1539" s="224"/>
      <c r="M1539" s="225">
        <v>3</v>
      </c>
      <c r="N1539" s="226" t="s">
        <v>196</v>
      </c>
      <c r="O1539" s="229" t="s">
        <v>1695</v>
      </c>
      <c r="P1539" s="228">
        <f>I4010</f>
        <v>50.9</v>
      </c>
      <c r="Q1539" s="226" t="s">
        <v>196</v>
      </c>
      <c r="R1539" s="228">
        <f t="shared" si="204"/>
        <v>152.69999999999999</v>
      </c>
      <c r="AG1539" s="47">
        <f t="shared" si="203"/>
        <v>0</v>
      </c>
    </row>
    <row r="1540" spans="6:33" ht="24" customHeight="1">
      <c r="H1540" s="42" t="s">
        <v>403</v>
      </c>
      <c r="I1540" s="41"/>
      <c r="J1540" s="86"/>
      <c r="K1540" s="39">
        <f>(K1538/10)</f>
        <v>244.32330000000002</v>
      </c>
      <c r="L1540" s="224"/>
      <c r="M1540" s="225">
        <v>6</v>
      </c>
      <c r="N1540" s="226" t="s">
        <v>196</v>
      </c>
      <c r="O1540" s="229" t="s">
        <v>1696</v>
      </c>
      <c r="P1540" s="228">
        <f>I3995</f>
        <v>15</v>
      </c>
      <c r="Q1540" s="226" t="s">
        <v>196</v>
      </c>
      <c r="R1540" s="228">
        <f t="shared" si="204"/>
        <v>90</v>
      </c>
      <c r="AG1540" s="47">
        <f t="shared" si="203"/>
        <v>0</v>
      </c>
    </row>
    <row r="1541" spans="6:33" ht="24" customHeight="1">
      <c r="F1541" s="26" t="s">
        <v>27</v>
      </c>
      <c r="L1541" s="224"/>
      <c r="M1541" s="225">
        <v>2.97</v>
      </c>
      <c r="N1541" s="226" t="s">
        <v>788</v>
      </c>
      <c r="O1541" s="229" t="s">
        <v>1697</v>
      </c>
      <c r="P1541" s="228">
        <f>R1552</f>
        <v>2156</v>
      </c>
      <c r="Q1541" s="226" t="s">
        <v>788</v>
      </c>
      <c r="R1541" s="228">
        <f t="shared" si="204"/>
        <v>6403.3200000000006</v>
      </c>
      <c r="AG1541" s="47">
        <f t="shared" si="203"/>
        <v>0</v>
      </c>
    </row>
    <row r="1542" spans="6:33" ht="24" customHeight="1">
      <c r="K1542" s="35" t="s">
        <v>41</v>
      </c>
      <c r="L1542" s="224"/>
      <c r="M1542" s="225"/>
      <c r="N1542" s="226"/>
      <c r="O1542" s="229" t="s">
        <v>1236</v>
      </c>
      <c r="P1542" s="223"/>
      <c r="Q1542" s="230"/>
      <c r="R1542" s="228">
        <v>3.5</v>
      </c>
      <c r="AG1542" s="47">
        <f t="shared" si="203"/>
        <v>0</v>
      </c>
    </row>
    <row r="1543" spans="6:33" ht="24" customHeight="1">
      <c r="F1543" s="64">
        <v>41</v>
      </c>
      <c r="G1543" s="38" t="s">
        <v>67</v>
      </c>
      <c r="H1543" s="26" t="s">
        <v>1698</v>
      </c>
      <c r="L1543" s="224"/>
      <c r="M1543" s="223"/>
      <c r="N1543" s="231"/>
      <c r="O1543" s="26" t="s">
        <v>1699</v>
      </c>
      <c r="P1543" s="223"/>
      <c r="Q1543" s="223"/>
      <c r="R1543" s="232">
        <f>SUM(R1535:R1542)</f>
        <v>14247.546</v>
      </c>
      <c r="AG1543" s="47">
        <f t="shared" si="203"/>
        <v>0</v>
      </c>
    </row>
    <row r="1544" spans="6:33" ht="24" customHeight="1">
      <c r="H1544" s="26" t="s">
        <v>1700</v>
      </c>
      <c r="L1544" s="233"/>
      <c r="M1544" s="223"/>
      <c r="N1544" s="223"/>
      <c r="AG1544" s="47">
        <f t="shared" si="203"/>
        <v>0</v>
      </c>
    </row>
    <row r="1545" spans="6:33" ht="24" customHeight="1">
      <c r="H1545" s="26" t="s">
        <v>1701</v>
      </c>
      <c r="L1545" s="222"/>
      <c r="M1545" s="223"/>
      <c r="N1545" s="223"/>
      <c r="O1545" s="26" t="s">
        <v>403</v>
      </c>
      <c r="P1545" s="223"/>
      <c r="Q1545" s="223"/>
      <c r="R1545" s="234">
        <f>R1543/2.97</f>
        <v>4797.1535353535355</v>
      </c>
      <c r="S1545" s="32">
        <f>R1545-3740</f>
        <v>1057.1535353535355</v>
      </c>
      <c r="AG1545" s="47">
        <f t="shared" si="203"/>
        <v>0</v>
      </c>
    </row>
    <row r="1546" spans="6:33" ht="24" customHeight="1">
      <c r="H1546" s="35" t="s">
        <v>48</v>
      </c>
      <c r="L1546" s="224"/>
      <c r="M1546" s="223"/>
      <c r="N1546" s="223"/>
      <c r="O1546" s="235"/>
      <c r="P1546" s="223"/>
      <c r="Q1546" s="223"/>
      <c r="R1546" s="223"/>
      <c r="AG1546" s="47">
        <f t="shared" si="203"/>
        <v>0</v>
      </c>
    </row>
    <row r="1547" spans="6:33" ht="24" customHeight="1">
      <c r="F1547" s="40">
        <v>2.2200000000000002</v>
      </c>
      <c r="G1547" s="38" t="s">
        <v>1543</v>
      </c>
      <c r="H1547" s="26" t="s">
        <v>1689</v>
      </c>
      <c r="I1547" s="40">
        <f>(C207)</f>
        <v>223.2</v>
      </c>
      <c r="J1547" s="26" t="s">
        <v>1543</v>
      </c>
      <c r="K1547" s="40">
        <f>(F1547*I1547)</f>
        <v>495.50400000000002</v>
      </c>
      <c r="L1547" s="224"/>
      <c r="M1547" s="228">
        <v>1</v>
      </c>
      <c r="N1547" s="226" t="s">
        <v>105</v>
      </c>
      <c r="O1547" s="229" t="s">
        <v>1702</v>
      </c>
      <c r="P1547" s="228">
        <f>AG17</f>
        <v>950.59999999999991</v>
      </c>
      <c r="Q1547" s="229" t="s">
        <v>105</v>
      </c>
      <c r="R1547" s="228">
        <f>P1547*M1547</f>
        <v>950.59999999999991</v>
      </c>
      <c r="AG1547" s="47">
        <f t="shared" si="203"/>
        <v>0</v>
      </c>
    </row>
    <row r="1548" spans="6:33" ht="24" customHeight="1">
      <c r="F1548" s="40">
        <v>1.1000000000000001</v>
      </c>
      <c r="G1548" s="38" t="s">
        <v>196</v>
      </c>
      <c r="H1548" s="26" t="s">
        <v>1545</v>
      </c>
      <c r="I1548" s="40">
        <f>(C14)</f>
        <v>861</v>
      </c>
      <c r="J1548" s="26" t="s">
        <v>196</v>
      </c>
      <c r="K1548" s="40">
        <f>(F1548*I1548)</f>
        <v>947.1</v>
      </c>
      <c r="L1548" s="224"/>
      <c r="M1548" s="228">
        <v>1</v>
      </c>
      <c r="N1548" s="226" t="s">
        <v>105</v>
      </c>
      <c r="O1548" s="229" t="s">
        <v>1703</v>
      </c>
      <c r="P1548" s="228">
        <f>AG11</f>
        <v>702.8</v>
      </c>
      <c r="Q1548" s="229" t="s">
        <v>105</v>
      </c>
      <c r="R1548" s="228">
        <f>P1548*M1548</f>
        <v>702.8</v>
      </c>
      <c r="AG1548" s="47">
        <f t="shared" si="203"/>
        <v>0</v>
      </c>
    </row>
    <row r="1549" spans="6:33" ht="24" customHeight="1">
      <c r="G1549" s="38" t="s">
        <v>106</v>
      </c>
      <c r="H1549" s="26" t="s">
        <v>1452</v>
      </c>
      <c r="I1549" s="26" t="s">
        <v>27</v>
      </c>
      <c r="J1549" s="26" t="s">
        <v>106</v>
      </c>
      <c r="K1549" s="40">
        <v>1.5</v>
      </c>
      <c r="L1549" s="224"/>
      <c r="M1549" s="228">
        <v>0.5</v>
      </c>
      <c r="N1549" s="226" t="s">
        <v>105</v>
      </c>
      <c r="O1549" s="229" t="s">
        <v>1704</v>
      </c>
      <c r="P1549" s="228">
        <f>AG20</f>
        <v>1005.1999999999999</v>
      </c>
      <c r="Q1549" s="229" t="s">
        <v>105</v>
      </c>
      <c r="R1549" s="228">
        <f>P1549*M1549</f>
        <v>502.59999999999997</v>
      </c>
      <c r="AG1549" s="47">
        <f t="shared" si="203"/>
        <v>0</v>
      </c>
    </row>
    <row r="1550" spans="6:33" ht="24" customHeight="1">
      <c r="K1550" s="35" t="s">
        <v>48</v>
      </c>
      <c r="L1550" s="224"/>
      <c r="M1550" s="223"/>
      <c r="N1550" s="231"/>
      <c r="O1550" s="223"/>
      <c r="P1550" s="223"/>
      <c r="Q1550" s="236"/>
      <c r="R1550" s="228"/>
      <c r="AG1550" s="47">
        <f t="shared" si="203"/>
        <v>0</v>
      </c>
    </row>
    <row r="1551" spans="6:33" ht="24" customHeight="1">
      <c r="H1551" s="26" t="s">
        <v>401</v>
      </c>
      <c r="K1551" s="40">
        <f>SUM(K1547:K1549)</f>
        <v>1444.104</v>
      </c>
      <c r="L1551" s="224"/>
      <c r="M1551" s="223"/>
      <c r="N1551" s="231"/>
      <c r="O1551" s="229" t="s">
        <v>1705</v>
      </c>
      <c r="P1551" s="223"/>
      <c r="Q1551" s="236"/>
      <c r="R1551" s="237" t="s">
        <v>48</v>
      </c>
      <c r="AG1551" s="47">
        <f t="shared" si="203"/>
        <v>0</v>
      </c>
    </row>
    <row r="1552" spans="6:33" ht="24" customHeight="1">
      <c r="K1552" s="35" t="s">
        <v>48</v>
      </c>
      <c r="L1552" s="224"/>
      <c r="M1552" s="223"/>
      <c r="N1552" s="231"/>
      <c r="O1552" s="223"/>
      <c r="P1552" s="223"/>
      <c r="Q1552" s="236"/>
      <c r="R1552" s="232">
        <f>SUM(R1547:R1551)</f>
        <v>2156</v>
      </c>
      <c r="AG1552" s="47">
        <f t="shared" si="203"/>
        <v>0</v>
      </c>
    </row>
    <row r="1553" spans="6:33" ht="24" customHeight="1">
      <c r="H1553" s="42" t="s">
        <v>403</v>
      </c>
      <c r="I1553" s="41"/>
      <c r="J1553" s="86"/>
      <c r="K1553" s="39">
        <f>(K1551/10)</f>
        <v>144.41040000000001</v>
      </c>
      <c r="L1553" s="224"/>
      <c r="AG1553" s="47">
        <f t="shared" si="203"/>
        <v>0</v>
      </c>
    </row>
    <row r="1554" spans="6:33" ht="24" customHeight="1">
      <c r="H1554" s="26"/>
      <c r="K1554" s="40"/>
      <c r="L1554" s="224"/>
      <c r="AG1554" s="47">
        <f t="shared" si="203"/>
        <v>0</v>
      </c>
    </row>
    <row r="1555" spans="6:33" ht="24" customHeight="1">
      <c r="H1555" s="26"/>
      <c r="K1555" s="40"/>
      <c r="L1555" s="224"/>
      <c r="AG1555" s="47">
        <f t="shared" si="203"/>
        <v>0</v>
      </c>
    </row>
    <row r="1556" spans="6:33" ht="24" customHeight="1">
      <c r="F1556" s="238">
        <v>238</v>
      </c>
      <c r="G1556" s="239" t="s">
        <v>67</v>
      </c>
      <c r="H1556" s="240" t="s">
        <v>1706</v>
      </c>
      <c r="I1556" s="241"/>
      <c r="J1556" s="242"/>
      <c r="K1556" s="241"/>
      <c r="L1556" s="224"/>
      <c r="AG1556" s="47">
        <f t="shared" si="203"/>
        <v>0</v>
      </c>
    </row>
    <row r="1557" spans="6:33" ht="24" customHeight="1">
      <c r="F1557" s="243"/>
      <c r="G1557" s="244"/>
      <c r="H1557" s="245" t="s">
        <v>1707</v>
      </c>
      <c r="I1557" s="246"/>
      <c r="J1557" s="247"/>
      <c r="K1557" s="246"/>
      <c r="L1557" s="233"/>
      <c r="AG1557" s="47">
        <f t="shared" si="203"/>
        <v>0</v>
      </c>
    </row>
    <row r="1558" spans="6:33" ht="24" customHeight="1">
      <c r="F1558" s="243"/>
      <c r="G1558" s="244"/>
      <c r="H1558" s="248" t="s">
        <v>48</v>
      </c>
      <c r="I1558" s="246"/>
      <c r="J1558" s="247"/>
      <c r="K1558" s="246"/>
      <c r="AG1558" s="47">
        <f t="shared" si="203"/>
        <v>0</v>
      </c>
    </row>
    <row r="1559" spans="6:33" ht="24" customHeight="1">
      <c r="F1559" s="249">
        <v>20</v>
      </c>
      <c r="G1559" s="250" t="s">
        <v>1543</v>
      </c>
      <c r="H1559" s="245" t="s">
        <v>1708</v>
      </c>
      <c r="I1559" s="251">
        <f>D40</f>
        <v>116.2</v>
      </c>
      <c r="J1559" s="245" t="s">
        <v>1543</v>
      </c>
      <c r="K1559" s="252">
        <f>(F1559*I1559)</f>
        <v>2324</v>
      </c>
      <c r="AG1559" s="47">
        <f t="shared" si="203"/>
        <v>0</v>
      </c>
    </row>
    <row r="1560" spans="6:33" ht="24" customHeight="1">
      <c r="F1560" s="243"/>
      <c r="G1560" s="244"/>
      <c r="H1560" s="245" t="s">
        <v>1709</v>
      </c>
      <c r="I1560" s="246"/>
      <c r="J1560" s="247"/>
      <c r="K1560" s="245" t="s">
        <v>27</v>
      </c>
      <c r="AG1560" s="47">
        <f t="shared" si="203"/>
        <v>0</v>
      </c>
    </row>
    <row r="1561" spans="6:33" ht="24" customHeight="1">
      <c r="F1561" s="249">
        <v>50</v>
      </c>
      <c r="G1561" s="250" t="s">
        <v>392</v>
      </c>
      <c r="H1561" s="245" t="s">
        <v>85</v>
      </c>
      <c r="I1561" s="252">
        <f>C67/1000</f>
        <v>5.8</v>
      </c>
      <c r="J1561" s="245" t="s">
        <v>392</v>
      </c>
      <c r="K1561" s="252">
        <f>(F1561*I1561)</f>
        <v>290</v>
      </c>
      <c r="AG1561" s="47">
        <f t="shared" si="203"/>
        <v>0</v>
      </c>
    </row>
    <row r="1562" spans="6:33" ht="24" customHeight="1">
      <c r="F1562" s="249">
        <v>1</v>
      </c>
      <c r="G1562" s="250" t="s">
        <v>106</v>
      </c>
      <c r="H1562" s="245" t="s">
        <v>1710</v>
      </c>
      <c r="I1562" s="253">
        <v>75</v>
      </c>
      <c r="J1562" s="245" t="s">
        <v>106</v>
      </c>
      <c r="K1562" s="252">
        <f>(F1562*I1562)</f>
        <v>75</v>
      </c>
      <c r="AG1562" s="47">
        <f t="shared" si="203"/>
        <v>0</v>
      </c>
    </row>
    <row r="1563" spans="6:33" ht="24" customHeight="1">
      <c r="F1563" s="249">
        <v>1</v>
      </c>
      <c r="G1563" s="250" t="s">
        <v>106</v>
      </c>
      <c r="H1563" s="245" t="s">
        <v>1711</v>
      </c>
      <c r="I1563" s="252">
        <f>C38</f>
        <v>40</v>
      </c>
      <c r="J1563" s="245" t="s">
        <v>106</v>
      </c>
      <c r="K1563" s="252">
        <f>(F1563*I1563)</f>
        <v>40</v>
      </c>
      <c r="AG1563" s="47">
        <f t="shared" si="203"/>
        <v>0</v>
      </c>
    </row>
    <row r="1564" spans="6:33" ht="24" customHeight="1">
      <c r="F1564" s="249">
        <v>2.5</v>
      </c>
      <c r="G1564" s="250" t="s">
        <v>106</v>
      </c>
      <c r="H1564" s="245" t="s">
        <v>1712</v>
      </c>
      <c r="I1564" s="252">
        <f>D14</f>
        <v>833</v>
      </c>
      <c r="J1564" s="245" t="s">
        <v>106</v>
      </c>
      <c r="K1564" s="252">
        <f>(F1564*I1564)</f>
        <v>2082.5</v>
      </c>
      <c r="AG1564" s="47">
        <f t="shared" si="203"/>
        <v>0</v>
      </c>
    </row>
    <row r="1565" spans="6:33" ht="24" customHeight="1">
      <c r="F1565" s="243"/>
      <c r="G1565" s="250" t="s">
        <v>106</v>
      </c>
      <c r="H1565" s="245" t="s">
        <v>1713</v>
      </c>
      <c r="I1565" s="246"/>
      <c r="J1565" s="245" t="s">
        <v>106</v>
      </c>
      <c r="K1565" s="254">
        <v>1.5</v>
      </c>
      <c r="AG1565" s="47">
        <f t="shared" si="203"/>
        <v>0</v>
      </c>
    </row>
    <row r="1566" spans="6:33" ht="24" customHeight="1">
      <c r="F1566" s="243"/>
      <c r="G1566" s="244"/>
      <c r="H1566" s="246"/>
      <c r="I1566" s="246"/>
      <c r="J1566" s="247"/>
      <c r="K1566" s="248" t="s">
        <v>48</v>
      </c>
      <c r="AG1566" s="47">
        <f t="shared" si="203"/>
        <v>0</v>
      </c>
    </row>
    <row r="1567" spans="6:33" ht="24" customHeight="1">
      <c r="F1567" s="243"/>
      <c r="G1567" s="244"/>
      <c r="H1567" s="255" t="s">
        <v>1714</v>
      </c>
      <c r="I1567" s="256"/>
      <c r="J1567" s="257"/>
      <c r="K1567" s="258">
        <f>SUM(K1559:K1565)</f>
        <v>4813</v>
      </c>
      <c r="AG1567" s="47">
        <f t="shared" si="203"/>
        <v>0</v>
      </c>
    </row>
    <row r="1568" spans="6:33" ht="24" customHeight="1">
      <c r="F1568" s="243"/>
      <c r="G1568" s="244"/>
      <c r="H1568" s="245"/>
      <c r="I1568" s="246"/>
      <c r="J1568" s="247"/>
      <c r="K1568" s="248" t="s">
        <v>48</v>
      </c>
      <c r="AG1568" s="47">
        <f t="shared" si="203"/>
        <v>0</v>
      </c>
    </row>
    <row r="1569" spans="6:33" ht="24" customHeight="1">
      <c r="F1569" s="259"/>
      <c r="G1569" s="260"/>
      <c r="H1569" s="261"/>
      <c r="I1569" s="261"/>
      <c r="J1569" s="262"/>
      <c r="K1569" s="263"/>
      <c r="AG1569" s="47">
        <f t="shared" si="203"/>
        <v>0</v>
      </c>
    </row>
    <row r="1570" spans="6:33" ht="24" customHeight="1">
      <c r="F1570" s="264" t="s">
        <v>1715</v>
      </c>
      <c r="G1570" s="239" t="s">
        <v>67</v>
      </c>
      <c r="H1570" s="240" t="s">
        <v>1716</v>
      </c>
      <c r="I1570" s="241"/>
      <c r="J1570" s="242"/>
      <c r="K1570" s="241"/>
      <c r="AG1570" s="47">
        <f t="shared" si="203"/>
        <v>0</v>
      </c>
    </row>
    <row r="1571" spans="6:33" ht="24" customHeight="1">
      <c r="F1571" s="243"/>
      <c r="G1571" s="244"/>
      <c r="H1571" s="245" t="s">
        <v>1717</v>
      </c>
      <c r="I1571" s="246"/>
      <c r="J1571" s="247"/>
      <c r="K1571" s="246"/>
      <c r="AG1571" s="47">
        <f t="shared" si="203"/>
        <v>0</v>
      </c>
    </row>
    <row r="1572" spans="6:33" ht="24" customHeight="1">
      <c r="F1572" s="243"/>
      <c r="G1572" s="244"/>
      <c r="H1572" s="248" t="s">
        <v>48</v>
      </c>
      <c r="I1572" s="246"/>
      <c r="J1572" s="247"/>
      <c r="K1572" s="246"/>
      <c r="AG1572" s="47">
        <f t="shared" si="203"/>
        <v>0</v>
      </c>
    </row>
    <row r="1573" spans="6:33" ht="24" customHeight="1">
      <c r="F1573" s="249">
        <v>1</v>
      </c>
      <c r="G1573" s="250" t="s">
        <v>1718</v>
      </c>
      <c r="H1573" s="245" t="s">
        <v>1719</v>
      </c>
      <c r="I1573" s="252">
        <f>(C139)</f>
        <v>45000</v>
      </c>
      <c r="J1573" s="245" t="s">
        <v>962</v>
      </c>
      <c r="K1573" s="252">
        <f>(F1573*I1573)/10</f>
        <v>4500</v>
      </c>
      <c r="AG1573" s="47">
        <f t="shared" si="203"/>
        <v>0</v>
      </c>
    </row>
    <row r="1574" spans="6:33" ht="24" customHeight="1">
      <c r="F1574" s="265">
        <v>0.01</v>
      </c>
      <c r="G1574" s="250" t="s">
        <v>1718</v>
      </c>
      <c r="H1574" s="245" t="s">
        <v>1720</v>
      </c>
      <c r="I1574" s="252">
        <f>(C143)</f>
        <v>43750</v>
      </c>
      <c r="J1574" s="245" t="s">
        <v>962</v>
      </c>
      <c r="K1574" s="252">
        <f>(F1574*I1574)/10</f>
        <v>43.75</v>
      </c>
      <c r="AG1574" s="47">
        <f t="shared" si="203"/>
        <v>0</v>
      </c>
    </row>
    <row r="1575" spans="6:33" ht="24" customHeight="1">
      <c r="F1575" s="265">
        <v>3.5</v>
      </c>
      <c r="G1575" s="250" t="s">
        <v>196</v>
      </c>
      <c r="H1575" s="245" t="s">
        <v>1721</v>
      </c>
      <c r="I1575" s="252">
        <f>AG38</f>
        <v>933.8</v>
      </c>
      <c r="J1575" s="245" t="s">
        <v>793</v>
      </c>
      <c r="K1575" s="252">
        <f>(F1575*I1575)</f>
        <v>3268.2999999999997</v>
      </c>
      <c r="AG1575" s="47">
        <f t="shared" si="203"/>
        <v>0</v>
      </c>
    </row>
    <row r="1576" spans="6:33" ht="24" customHeight="1">
      <c r="F1576" s="249">
        <v>1.3</v>
      </c>
      <c r="G1576" s="250" t="s">
        <v>392</v>
      </c>
      <c r="H1576" s="245" t="s">
        <v>1722</v>
      </c>
      <c r="I1576" s="252">
        <f>C67/1000</f>
        <v>5.8</v>
      </c>
      <c r="J1576" s="245" t="s">
        <v>392</v>
      </c>
      <c r="K1576" s="252">
        <f>(F1576*I1576)</f>
        <v>7.54</v>
      </c>
      <c r="AG1576" s="47">
        <f t="shared" si="203"/>
        <v>0</v>
      </c>
    </row>
    <row r="1577" spans="6:33" ht="24" customHeight="1">
      <c r="F1577" s="249">
        <v>0.25</v>
      </c>
      <c r="G1577" s="250" t="s">
        <v>196</v>
      </c>
      <c r="H1577" s="245" t="s">
        <v>1723</v>
      </c>
      <c r="I1577" s="252">
        <f>D14</f>
        <v>833</v>
      </c>
      <c r="J1577" s="245" t="s">
        <v>793</v>
      </c>
      <c r="K1577" s="252">
        <f>(F1577*I1577)</f>
        <v>208.25</v>
      </c>
      <c r="AG1577" s="47">
        <f t="shared" si="203"/>
        <v>0</v>
      </c>
    </row>
    <row r="1578" spans="6:33" ht="24" customHeight="1">
      <c r="F1578" s="265"/>
      <c r="G1578" s="250" t="s">
        <v>106</v>
      </c>
      <c r="H1578" s="245" t="s">
        <v>107</v>
      </c>
      <c r="I1578" s="246"/>
      <c r="J1578" s="245" t="s">
        <v>106</v>
      </c>
      <c r="K1578" s="252">
        <f>(F1578*I1578)</f>
        <v>0</v>
      </c>
      <c r="AG1578" s="47">
        <f t="shared" si="203"/>
        <v>0</v>
      </c>
    </row>
    <row r="1579" spans="6:33" ht="24" customHeight="1">
      <c r="F1579" s="265"/>
      <c r="G1579" s="244"/>
      <c r="H1579" s="246"/>
      <c r="I1579" s="246"/>
      <c r="J1579" s="247"/>
      <c r="K1579" s="248" t="s">
        <v>48</v>
      </c>
      <c r="AG1579" s="47">
        <f t="shared" si="203"/>
        <v>0</v>
      </c>
    </row>
    <row r="1580" spans="6:33" ht="24" customHeight="1">
      <c r="F1580" s="265"/>
      <c r="G1580" s="244"/>
      <c r="H1580" s="245" t="s">
        <v>1724</v>
      </c>
      <c r="I1580" s="246"/>
      <c r="J1580" s="247"/>
      <c r="K1580" s="252">
        <f>SUM(K1573:K1578)</f>
        <v>8027.8399999999992</v>
      </c>
      <c r="AG1580" s="47">
        <f t="shared" si="203"/>
        <v>0</v>
      </c>
    </row>
    <row r="1581" spans="6:33" ht="24" customHeight="1">
      <c r="F1581" s="265"/>
      <c r="G1581" s="244"/>
      <c r="H1581" s="246"/>
      <c r="I1581" s="246"/>
      <c r="J1581" s="247"/>
      <c r="K1581" s="248" t="s">
        <v>48</v>
      </c>
      <c r="AG1581" s="47">
        <f t="shared" si="203"/>
        <v>0</v>
      </c>
    </row>
    <row r="1582" spans="6:33" ht="24" customHeight="1">
      <c r="F1582" s="266"/>
      <c r="G1582" s="260"/>
      <c r="H1582" s="267" t="s">
        <v>1725</v>
      </c>
      <c r="I1582" s="268"/>
      <c r="J1582" s="269"/>
      <c r="K1582" s="270">
        <f>(K1580*10)</f>
        <v>80278.399999999994</v>
      </c>
      <c r="AG1582" s="47">
        <f t="shared" si="203"/>
        <v>0</v>
      </c>
    </row>
    <row r="1583" spans="6:33" ht="24" customHeight="1">
      <c r="F1583" s="76"/>
      <c r="K1583" s="35"/>
      <c r="AG1583" s="47">
        <f t="shared" si="203"/>
        <v>0</v>
      </c>
    </row>
    <row r="1584" spans="6:33" ht="24" customHeight="1">
      <c r="F1584" s="76"/>
      <c r="K1584" s="35"/>
      <c r="AG1584" s="47">
        <f t="shared" si="203"/>
        <v>0</v>
      </c>
    </row>
    <row r="1585" spans="6:33" ht="24" customHeight="1">
      <c r="F1585" s="76"/>
      <c r="H1585" s="271" t="s">
        <v>1726</v>
      </c>
      <c r="K1585" s="35"/>
      <c r="AG1585" s="47">
        <f t="shared" si="203"/>
        <v>0</v>
      </c>
    </row>
    <row r="1586" spans="6:33" ht="24" customHeight="1">
      <c r="F1586" s="40">
        <v>1</v>
      </c>
      <c r="G1586" s="38" t="s">
        <v>1718</v>
      </c>
      <c r="H1586" s="26" t="s">
        <v>1727</v>
      </c>
      <c r="I1586" s="28">
        <f>C138</f>
        <v>45000</v>
      </c>
      <c r="J1586" s="26" t="s">
        <v>962</v>
      </c>
      <c r="K1586" s="40">
        <f>(F1586*I1586)/10</f>
        <v>4500</v>
      </c>
      <c r="AG1586" s="47">
        <f t="shared" si="203"/>
        <v>0</v>
      </c>
    </row>
    <row r="1587" spans="6:33" ht="24" customHeight="1">
      <c r="F1587" s="76">
        <v>0.01</v>
      </c>
      <c r="G1587" s="38" t="s">
        <v>1718</v>
      </c>
      <c r="H1587" s="26" t="s">
        <v>1720</v>
      </c>
      <c r="I1587" s="28">
        <f>C143</f>
        <v>43750</v>
      </c>
      <c r="J1587" s="26" t="s">
        <v>962</v>
      </c>
      <c r="K1587" s="40">
        <f>(F1587*I1587)/10</f>
        <v>43.75</v>
      </c>
      <c r="AG1587" s="47">
        <f t="shared" si="203"/>
        <v>0</v>
      </c>
    </row>
    <row r="1588" spans="6:33" ht="24" customHeight="1">
      <c r="F1588" s="76">
        <v>3.5</v>
      </c>
      <c r="G1588" s="38" t="s">
        <v>196</v>
      </c>
      <c r="H1588" s="26" t="s">
        <v>1721</v>
      </c>
      <c r="I1588" s="28">
        <f>I1575</f>
        <v>933.8</v>
      </c>
      <c r="J1588" s="26" t="s">
        <v>793</v>
      </c>
      <c r="K1588" s="40">
        <f>(F1588*I1588)</f>
        <v>3268.2999999999997</v>
      </c>
      <c r="AG1588" s="47">
        <f t="shared" si="203"/>
        <v>0</v>
      </c>
    </row>
    <row r="1589" spans="6:33" ht="24" customHeight="1">
      <c r="F1589" s="40">
        <v>1.3</v>
      </c>
      <c r="G1589" s="38" t="s">
        <v>392</v>
      </c>
      <c r="H1589" s="26" t="s">
        <v>1722</v>
      </c>
      <c r="I1589" s="28">
        <f>C67/1000</f>
        <v>5.8</v>
      </c>
      <c r="J1589" s="26" t="s">
        <v>392</v>
      </c>
      <c r="K1589" s="40">
        <f>(F1589*I1589)</f>
        <v>7.54</v>
      </c>
      <c r="AG1589" s="47">
        <f t="shared" si="203"/>
        <v>0</v>
      </c>
    </row>
    <row r="1590" spans="6:33" ht="24" customHeight="1">
      <c r="F1590" s="40">
        <v>0.25</v>
      </c>
      <c r="G1590" s="38" t="s">
        <v>196</v>
      </c>
      <c r="H1590" s="26" t="s">
        <v>1723</v>
      </c>
      <c r="I1590" s="28">
        <f>D14</f>
        <v>833</v>
      </c>
      <c r="J1590" s="26" t="s">
        <v>793</v>
      </c>
      <c r="K1590" s="40">
        <f>(F1590*I1590)</f>
        <v>208.25</v>
      </c>
      <c r="AG1590" s="47">
        <f t="shared" si="203"/>
        <v>0</v>
      </c>
    </row>
    <row r="1591" spans="6:33" ht="24" customHeight="1">
      <c r="F1591" s="76"/>
      <c r="G1591" s="38" t="s">
        <v>106</v>
      </c>
      <c r="H1591" s="26" t="s">
        <v>107</v>
      </c>
      <c r="J1591" s="26" t="s">
        <v>106</v>
      </c>
      <c r="K1591" s="40">
        <f>(F1591*I1591)</f>
        <v>0</v>
      </c>
      <c r="AG1591" s="47">
        <f t="shared" si="203"/>
        <v>0</v>
      </c>
    </row>
    <row r="1592" spans="6:33" ht="24" customHeight="1">
      <c r="F1592" s="76"/>
      <c r="K1592" s="35" t="s">
        <v>48</v>
      </c>
      <c r="AG1592" s="47">
        <f t="shared" si="203"/>
        <v>0</v>
      </c>
    </row>
    <row r="1593" spans="6:33" ht="24" customHeight="1">
      <c r="F1593" s="76"/>
      <c r="H1593" s="26" t="s">
        <v>1724</v>
      </c>
      <c r="K1593" s="40">
        <f>SUM(K1586:K1591)</f>
        <v>8027.8399999999992</v>
      </c>
      <c r="AG1593" s="47">
        <f t="shared" si="203"/>
        <v>0</v>
      </c>
    </row>
    <row r="1594" spans="6:33" ht="24" customHeight="1">
      <c r="F1594" s="76"/>
      <c r="K1594" s="35" t="s">
        <v>48</v>
      </c>
      <c r="AG1594" s="47">
        <f t="shared" si="203"/>
        <v>0</v>
      </c>
    </row>
    <row r="1595" spans="6:33" ht="24" customHeight="1">
      <c r="F1595" s="76" t="s">
        <v>27</v>
      </c>
      <c r="H1595" s="42" t="s">
        <v>1725</v>
      </c>
      <c r="I1595" s="41"/>
      <c r="J1595" s="86"/>
      <c r="K1595" s="39">
        <f>(K1593*10)</f>
        <v>80278.399999999994</v>
      </c>
      <c r="AG1595" s="47">
        <f t="shared" si="203"/>
        <v>0</v>
      </c>
    </row>
    <row r="1596" spans="6:33" ht="24" customHeight="1">
      <c r="F1596" s="76"/>
      <c r="K1596" s="35" t="s">
        <v>41</v>
      </c>
      <c r="AG1596" s="47">
        <f t="shared" si="203"/>
        <v>0</v>
      </c>
    </row>
    <row r="1597" spans="6:33" ht="24" customHeight="1">
      <c r="F1597" s="76"/>
      <c r="H1597" s="26" t="s">
        <v>27</v>
      </c>
      <c r="K1597" s="26" t="s">
        <v>27</v>
      </c>
      <c r="AG1597" s="47">
        <f t="shared" si="203"/>
        <v>0</v>
      </c>
    </row>
    <row r="1598" spans="6:33" ht="24" customHeight="1">
      <c r="F1598" s="83" t="s">
        <v>1728</v>
      </c>
      <c r="G1598" s="38" t="s">
        <v>1035</v>
      </c>
      <c r="H1598" s="26" t="s">
        <v>1716</v>
      </c>
      <c r="O1598" s="41" t="s">
        <v>1729</v>
      </c>
      <c r="AG1598" s="47">
        <f t="shared" ref="AG1598:AG1661" si="205">AI1598</f>
        <v>0</v>
      </c>
    </row>
    <row r="1599" spans="6:33" ht="24" customHeight="1">
      <c r="F1599" s="76"/>
      <c r="H1599" s="26" t="s">
        <v>1730</v>
      </c>
      <c r="M1599" s="83" t="s">
        <v>1728</v>
      </c>
      <c r="N1599" s="38" t="s">
        <v>1035</v>
      </c>
      <c r="O1599" s="26" t="s">
        <v>1716</v>
      </c>
      <c r="Q1599" s="31"/>
      <c r="AG1599" s="47">
        <f t="shared" si="205"/>
        <v>0</v>
      </c>
    </row>
    <row r="1600" spans="6:33" ht="24" customHeight="1">
      <c r="F1600" s="76"/>
      <c r="H1600" s="35" t="s">
        <v>48</v>
      </c>
      <c r="M1600" s="76"/>
      <c r="N1600" s="29"/>
      <c r="O1600" s="26" t="s">
        <v>1730</v>
      </c>
      <c r="Q1600" s="31"/>
      <c r="AG1600" s="47">
        <f t="shared" si="205"/>
        <v>0</v>
      </c>
    </row>
    <row r="1601" spans="6:33" ht="24" customHeight="1">
      <c r="F1601" s="40">
        <v>1</v>
      </c>
      <c r="G1601" s="38" t="s">
        <v>1718</v>
      </c>
      <c r="H1601" s="26" t="s">
        <v>1719</v>
      </c>
      <c r="I1601" s="40">
        <f>(C139)</f>
        <v>45000</v>
      </c>
      <c r="J1601" s="26" t="s">
        <v>962</v>
      </c>
      <c r="K1601" s="40">
        <f>(F1601*I1601)/10</f>
        <v>4500</v>
      </c>
      <c r="L1601" s="28">
        <f>K1626+K1630</f>
        <v>393.12</v>
      </c>
      <c r="M1601" s="76"/>
      <c r="N1601" s="29"/>
      <c r="O1601" s="35" t="s">
        <v>48</v>
      </c>
      <c r="Q1601" s="31"/>
      <c r="AG1601" s="47">
        <f t="shared" si="205"/>
        <v>0</v>
      </c>
    </row>
    <row r="1602" spans="6:33" ht="24" customHeight="1">
      <c r="F1602" s="76">
        <v>0.01</v>
      </c>
      <c r="G1602" s="38" t="s">
        <v>1718</v>
      </c>
      <c r="H1602" s="26" t="s">
        <v>1720</v>
      </c>
      <c r="I1602" s="48">
        <f>I1587</f>
        <v>43750</v>
      </c>
      <c r="J1602" s="26" t="s">
        <v>962</v>
      </c>
      <c r="K1602" s="40">
        <f>(F1602*I1602)/10</f>
        <v>43.75</v>
      </c>
      <c r="L1602" s="28">
        <f>L1601/3</f>
        <v>131.04</v>
      </c>
      <c r="M1602" s="40">
        <v>1</v>
      </c>
      <c r="N1602" s="38" t="s">
        <v>1718</v>
      </c>
      <c r="O1602" s="26" t="s">
        <v>1719</v>
      </c>
      <c r="P1602" s="40">
        <f>I1601</f>
        <v>45000</v>
      </c>
      <c r="Q1602" s="26" t="s">
        <v>962</v>
      </c>
      <c r="R1602" s="40">
        <f>(M1602*P1602)/10</f>
        <v>4500</v>
      </c>
      <c r="AG1602" s="47">
        <f t="shared" si="205"/>
        <v>0</v>
      </c>
    </row>
    <row r="1603" spans="6:33" ht="24" customHeight="1">
      <c r="F1603" s="76">
        <v>3.5</v>
      </c>
      <c r="G1603" s="38" t="s">
        <v>196</v>
      </c>
      <c r="H1603" s="26" t="s">
        <v>1721</v>
      </c>
      <c r="I1603" s="40">
        <f>AG38</f>
        <v>933.8</v>
      </c>
      <c r="J1603" s="26" t="s">
        <v>196</v>
      </c>
      <c r="K1603" s="40">
        <f>(F1603*I1603)</f>
        <v>3268.2999999999997</v>
      </c>
      <c r="M1603" s="76">
        <v>0.01</v>
      </c>
      <c r="N1603" s="38" t="s">
        <v>1718</v>
      </c>
      <c r="O1603" s="30" t="s">
        <v>1731</v>
      </c>
      <c r="P1603" s="183">
        <f>80000/112*100</f>
        <v>71428.571428571435</v>
      </c>
      <c r="Q1603" s="26" t="s">
        <v>962</v>
      </c>
      <c r="R1603" s="40">
        <f>(M1603*P1603)/10</f>
        <v>71.428571428571431</v>
      </c>
      <c r="AG1603" s="47">
        <f t="shared" si="205"/>
        <v>0</v>
      </c>
    </row>
    <row r="1604" spans="6:33" ht="24" customHeight="1">
      <c r="F1604" s="76"/>
      <c r="G1604" s="38" t="s">
        <v>106</v>
      </c>
      <c r="H1604" s="26" t="s">
        <v>107</v>
      </c>
      <c r="J1604" s="26" t="s">
        <v>106</v>
      </c>
      <c r="K1604" s="40">
        <v>0</v>
      </c>
      <c r="M1604" s="76">
        <v>3.5</v>
      </c>
      <c r="N1604" s="38" t="s">
        <v>196</v>
      </c>
      <c r="O1604" s="26" t="s">
        <v>1721</v>
      </c>
      <c r="P1604" s="40">
        <f>I1603</f>
        <v>933.8</v>
      </c>
      <c r="Q1604" s="26" t="s">
        <v>196</v>
      </c>
      <c r="R1604" s="40">
        <f>(M1604*P1604)</f>
        <v>3268.2999999999997</v>
      </c>
      <c r="AG1604" s="47">
        <f t="shared" si="205"/>
        <v>0</v>
      </c>
    </row>
    <row r="1605" spans="6:33" ht="24" customHeight="1">
      <c r="K1605" s="35" t="s">
        <v>48</v>
      </c>
      <c r="M1605" s="76"/>
      <c r="N1605" s="38" t="s">
        <v>106</v>
      </c>
      <c r="O1605" s="26" t="s">
        <v>107</v>
      </c>
      <c r="Q1605" s="26" t="s">
        <v>106</v>
      </c>
      <c r="R1605" s="40">
        <v>0</v>
      </c>
      <c r="AG1605" s="47">
        <f t="shared" si="205"/>
        <v>0</v>
      </c>
    </row>
    <row r="1606" spans="6:33" ht="24" customHeight="1">
      <c r="H1606" s="26" t="s">
        <v>1724</v>
      </c>
      <c r="K1606" s="40">
        <f>SUM(K1601:K1604)</f>
        <v>7812.0499999999993</v>
      </c>
      <c r="N1606" s="29"/>
      <c r="Q1606" s="31"/>
      <c r="R1606" s="35" t="s">
        <v>48</v>
      </c>
      <c r="AG1606" s="47">
        <f t="shared" si="205"/>
        <v>0</v>
      </c>
    </row>
    <row r="1607" spans="6:33" ht="24" customHeight="1">
      <c r="K1607" s="35" t="s">
        <v>48</v>
      </c>
      <c r="N1607" s="29"/>
      <c r="O1607" s="26" t="s">
        <v>1724</v>
      </c>
      <c r="Q1607" s="31"/>
      <c r="R1607" s="40">
        <f>SUM(R1602:R1605)</f>
        <v>7839.7285714285717</v>
      </c>
      <c r="AG1607" s="47">
        <f t="shared" si="205"/>
        <v>0</v>
      </c>
    </row>
    <row r="1608" spans="6:33" ht="24" customHeight="1">
      <c r="H1608" s="42" t="s">
        <v>1725</v>
      </c>
      <c r="I1608" s="41"/>
      <c r="J1608" s="86"/>
      <c r="K1608" s="39">
        <f>(K1606*10)</f>
        <v>78120.5</v>
      </c>
      <c r="N1608" s="29"/>
      <c r="Q1608" s="31"/>
      <c r="R1608" s="35" t="s">
        <v>48</v>
      </c>
      <c r="AG1608" s="47">
        <f t="shared" si="205"/>
        <v>0</v>
      </c>
    </row>
    <row r="1609" spans="6:33" ht="24" customHeight="1">
      <c r="H1609" s="26" t="s">
        <v>27</v>
      </c>
      <c r="K1609" s="26" t="s">
        <v>27</v>
      </c>
      <c r="N1609" s="29"/>
      <c r="O1609" s="42" t="s">
        <v>1725</v>
      </c>
      <c r="P1609" s="41"/>
      <c r="Q1609" s="86"/>
      <c r="R1609" s="39">
        <f>(R1607*10)</f>
        <v>78397.28571428571</v>
      </c>
      <c r="AG1609" s="47">
        <f t="shared" si="205"/>
        <v>0</v>
      </c>
    </row>
    <row r="1610" spans="6:33" ht="24" customHeight="1">
      <c r="G1610" s="29" t="s">
        <v>1064</v>
      </c>
      <c r="H1610" s="26" t="s">
        <v>1716</v>
      </c>
      <c r="K1610" s="26"/>
      <c r="AG1610" s="47">
        <f t="shared" si="205"/>
        <v>0</v>
      </c>
    </row>
    <row r="1611" spans="6:33" ht="24" customHeight="1">
      <c r="H1611" s="26" t="s">
        <v>1732</v>
      </c>
      <c r="K1611" s="26"/>
      <c r="N1611" s="29" t="s">
        <v>1064</v>
      </c>
      <c r="O1611" s="26" t="s">
        <v>1716</v>
      </c>
      <c r="Q1611" s="31"/>
      <c r="R1611" s="26"/>
      <c r="AG1611" s="47">
        <f t="shared" si="205"/>
        <v>0</v>
      </c>
    </row>
    <row r="1612" spans="6:33" ht="24" customHeight="1">
      <c r="F1612" s="76"/>
      <c r="H1612" s="35" t="s">
        <v>48</v>
      </c>
      <c r="K1612" s="26"/>
      <c r="N1612" s="29"/>
      <c r="O1612" s="26" t="s">
        <v>1732</v>
      </c>
      <c r="Q1612" s="31"/>
      <c r="R1612" s="26"/>
      <c r="AG1612" s="47">
        <f t="shared" si="205"/>
        <v>0</v>
      </c>
    </row>
    <row r="1613" spans="6:33" ht="24" customHeight="1">
      <c r="F1613" s="40">
        <v>1</v>
      </c>
      <c r="G1613" s="38" t="s">
        <v>1718</v>
      </c>
      <c r="H1613" s="26" t="s">
        <v>1727</v>
      </c>
      <c r="I1613" s="28">
        <f>C138</f>
        <v>45000</v>
      </c>
      <c r="J1613" s="26" t="s">
        <v>962</v>
      </c>
      <c r="K1613" s="40">
        <f>(F1613*I1613)/10</f>
        <v>4500</v>
      </c>
      <c r="M1613" s="76"/>
      <c r="N1613" s="29"/>
      <c r="O1613" s="35" t="s">
        <v>48</v>
      </c>
      <c r="Q1613" s="31"/>
      <c r="R1613" s="26"/>
      <c r="AG1613" s="47">
        <f t="shared" si="205"/>
        <v>0</v>
      </c>
    </row>
    <row r="1614" spans="6:33" ht="24" customHeight="1">
      <c r="F1614" s="76">
        <v>0.01</v>
      </c>
      <c r="G1614" s="38" t="s">
        <v>1718</v>
      </c>
      <c r="H1614" s="26" t="s">
        <v>1720</v>
      </c>
      <c r="I1614" s="28">
        <f>C143</f>
        <v>43750</v>
      </c>
      <c r="J1614" s="26" t="s">
        <v>962</v>
      </c>
      <c r="K1614" s="40">
        <f>(F1614*I1614)/10</f>
        <v>43.75</v>
      </c>
      <c r="M1614" s="40">
        <v>1</v>
      </c>
      <c r="N1614" s="38" t="s">
        <v>1718</v>
      </c>
      <c r="O1614" s="26" t="s">
        <v>1727</v>
      </c>
      <c r="P1614" s="28">
        <f>I1613</f>
        <v>45000</v>
      </c>
      <c r="Q1614" s="26" t="s">
        <v>962</v>
      </c>
      <c r="R1614" s="40">
        <f>(M1614*P1614)/10</f>
        <v>4500</v>
      </c>
      <c r="AG1614" s="47">
        <f t="shared" si="205"/>
        <v>0</v>
      </c>
    </row>
    <row r="1615" spans="6:33" ht="24" customHeight="1">
      <c r="F1615" s="76">
        <v>3.5</v>
      </c>
      <c r="G1615" s="38" t="s">
        <v>196</v>
      </c>
      <c r="H1615" s="26" t="s">
        <v>1721</v>
      </c>
      <c r="I1615" s="28">
        <f>I1603</f>
        <v>933.8</v>
      </c>
      <c r="J1615" s="26" t="s">
        <v>196</v>
      </c>
      <c r="K1615" s="40">
        <f>(F1615*I1615)</f>
        <v>3268.2999999999997</v>
      </c>
      <c r="M1615" s="76">
        <v>0.01</v>
      </c>
      <c r="N1615" s="38" t="s">
        <v>1718</v>
      </c>
      <c r="O1615" s="30" t="str">
        <f>O1603</f>
        <v>BINDING WIRE insulated with PVC as per circular</v>
      </c>
      <c r="P1615" s="28">
        <f>P1603</f>
        <v>71428.571428571435</v>
      </c>
      <c r="Q1615" s="26" t="s">
        <v>962</v>
      </c>
      <c r="R1615" s="40">
        <f>(M1615*P1615)/10</f>
        <v>71.428571428571431</v>
      </c>
      <c r="AG1615" s="47">
        <f t="shared" si="205"/>
        <v>0</v>
      </c>
    </row>
    <row r="1616" spans="6:33" ht="24" customHeight="1">
      <c r="F1616" s="76"/>
      <c r="G1616" s="38" t="s">
        <v>106</v>
      </c>
      <c r="H1616" s="26" t="s">
        <v>107</v>
      </c>
      <c r="J1616" s="26" t="s">
        <v>106</v>
      </c>
      <c r="K1616" s="40">
        <v>0</v>
      </c>
      <c r="M1616" s="76">
        <v>3.5</v>
      </c>
      <c r="N1616" s="38" t="s">
        <v>1718</v>
      </c>
      <c r="O1616" s="26" t="s">
        <v>1721</v>
      </c>
      <c r="P1616" s="28">
        <f>I1615</f>
        <v>933.8</v>
      </c>
      <c r="Q1616" s="26" t="s">
        <v>196</v>
      </c>
      <c r="R1616" s="40">
        <f>(M1616*P1616)</f>
        <v>3268.2999999999997</v>
      </c>
      <c r="AG1616" s="47">
        <f t="shared" si="205"/>
        <v>0</v>
      </c>
    </row>
    <row r="1617" spans="6:33" ht="24" customHeight="1">
      <c r="K1617" s="35" t="s">
        <v>48</v>
      </c>
      <c r="M1617" s="76"/>
      <c r="N1617" s="38" t="s">
        <v>1718</v>
      </c>
      <c r="O1617" s="26" t="s">
        <v>107</v>
      </c>
      <c r="Q1617" s="26" t="s">
        <v>106</v>
      </c>
      <c r="R1617" s="40">
        <v>0</v>
      </c>
      <c r="AG1617" s="47">
        <f t="shared" si="205"/>
        <v>0</v>
      </c>
    </row>
    <row r="1618" spans="6:33" ht="24" customHeight="1">
      <c r="H1618" s="26" t="s">
        <v>1724</v>
      </c>
      <c r="K1618" s="40">
        <f>SUM(K1613:K1616)</f>
        <v>7812.0499999999993</v>
      </c>
      <c r="N1618" s="29"/>
      <c r="Q1618" s="31"/>
      <c r="R1618" s="35" t="s">
        <v>48</v>
      </c>
      <c r="AG1618" s="47">
        <f t="shared" si="205"/>
        <v>0</v>
      </c>
    </row>
    <row r="1619" spans="6:33" ht="24" customHeight="1">
      <c r="K1619" s="35" t="s">
        <v>48</v>
      </c>
      <c r="N1619" s="29"/>
      <c r="O1619" s="26" t="s">
        <v>1724</v>
      </c>
      <c r="Q1619" s="31"/>
      <c r="R1619" s="40">
        <f>SUM(R1614:R1617)</f>
        <v>7839.7285714285717</v>
      </c>
      <c r="AG1619" s="47">
        <f t="shared" si="205"/>
        <v>0</v>
      </c>
    </row>
    <row r="1620" spans="6:33" ht="24" customHeight="1">
      <c r="H1620" s="42" t="s">
        <v>1725</v>
      </c>
      <c r="I1620" s="41"/>
      <c r="J1620" s="86"/>
      <c r="K1620" s="39">
        <f>(K1618*10)</f>
        <v>78120.5</v>
      </c>
      <c r="N1620" s="29"/>
      <c r="Q1620" s="31"/>
      <c r="R1620" s="35" t="s">
        <v>48</v>
      </c>
      <c r="AG1620" s="47">
        <f t="shared" si="205"/>
        <v>0</v>
      </c>
    </row>
    <row r="1621" spans="6:33" ht="24" customHeight="1">
      <c r="H1621" s="26" t="s">
        <v>27</v>
      </c>
      <c r="N1621" s="29"/>
      <c r="O1621" s="42" t="s">
        <v>1725</v>
      </c>
      <c r="P1621" s="41"/>
      <c r="Q1621" s="86"/>
      <c r="R1621" s="39">
        <f>(R1619*10)</f>
        <v>78397.28571428571</v>
      </c>
      <c r="AG1621" s="47">
        <f t="shared" si="205"/>
        <v>0</v>
      </c>
    </row>
    <row r="1622" spans="6:33" ht="24" customHeight="1">
      <c r="F1622" s="77">
        <v>44.1</v>
      </c>
      <c r="G1622" s="38" t="s">
        <v>67</v>
      </c>
      <c r="H1622" s="26" t="s">
        <v>1733</v>
      </c>
      <c r="AG1622" s="47">
        <f t="shared" si="205"/>
        <v>0</v>
      </c>
    </row>
    <row r="1623" spans="6:33" ht="24" customHeight="1">
      <c r="H1623" s="26" t="s">
        <v>1734</v>
      </c>
      <c r="AG1623" s="47">
        <f t="shared" si="205"/>
        <v>0</v>
      </c>
    </row>
    <row r="1624" spans="6:33" ht="24" customHeight="1">
      <c r="H1624" s="26" t="s">
        <v>1735</v>
      </c>
      <c r="M1624" s="77">
        <v>44.1</v>
      </c>
      <c r="N1624" s="38" t="s">
        <v>67</v>
      </c>
      <c r="O1624" s="26" t="s">
        <v>1733</v>
      </c>
      <c r="AG1624" s="47">
        <f t="shared" si="205"/>
        <v>0</v>
      </c>
    </row>
    <row r="1625" spans="6:33" ht="24" customHeight="1">
      <c r="H1625" s="35" t="s">
        <v>48</v>
      </c>
      <c r="N1625" s="29"/>
      <c r="O1625" s="26" t="s">
        <v>1734</v>
      </c>
      <c r="AG1625" s="47">
        <f t="shared" si="205"/>
        <v>0</v>
      </c>
    </row>
    <row r="1626" spans="6:33" ht="24" customHeight="1">
      <c r="F1626" s="40">
        <v>3</v>
      </c>
      <c r="G1626" s="38" t="s">
        <v>244</v>
      </c>
      <c r="H1626" s="26" t="s">
        <v>1736</v>
      </c>
      <c r="I1626" s="40">
        <f>D620</f>
        <v>120.54</v>
      </c>
      <c r="J1626" s="26" t="s">
        <v>244</v>
      </c>
      <c r="K1626" s="40">
        <f t="shared" ref="K1626:K1631" si="206">(F1626*I1626)</f>
        <v>361.62</v>
      </c>
      <c r="N1626" s="29"/>
      <c r="O1626" s="26" t="s">
        <v>1735</v>
      </c>
      <c r="AG1626" s="47">
        <f t="shared" si="205"/>
        <v>0</v>
      </c>
    </row>
    <row r="1627" spans="6:33" ht="24" customHeight="1">
      <c r="F1627" s="40">
        <v>1</v>
      </c>
      <c r="G1627" s="38" t="s">
        <v>105</v>
      </c>
      <c r="H1627" s="26" t="s">
        <v>1737</v>
      </c>
      <c r="I1627" s="133">
        <f>(C623)</f>
        <v>76</v>
      </c>
      <c r="J1627" s="26" t="s">
        <v>105</v>
      </c>
      <c r="K1627" s="40">
        <f t="shared" si="206"/>
        <v>76</v>
      </c>
      <c r="N1627" s="29"/>
      <c r="O1627" s="35" t="s">
        <v>48</v>
      </c>
      <c r="AG1627" s="47">
        <f t="shared" si="205"/>
        <v>0</v>
      </c>
    </row>
    <row r="1628" spans="6:33" ht="24" customHeight="1">
      <c r="F1628" s="40">
        <v>1</v>
      </c>
      <c r="G1628" s="38" t="s">
        <v>105</v>
      </c>
      <c r="H1628" s="26" t="s">
        <v>1738</v>
      </c>
      <c r="I1628" s="40">
        <f>(C626)</f>
        <v>71</v>
      </c>
      <c r="J1628" s="26" t="s">
        <v>105</v>
      </c>
      <c r="K1628" s="40">
        <f t="shared" si="206"/>
        <v>71</v>
      </c>
      <c r="M1628" s="40">
        <v>3</v>
      </c>
      <c r="N1628" s="38" t="s">
        <v>244</v>
      </c>
      <c r="O1628" s="26" t="s">
        <v>1736</v>
      </c>
      <c r="P1628" s="28">
        <f>I1626</f>
        <v>120.54</v>
      </c>
      <c r="Q1628" s="28" t="str">
        <f>J1628</f>
        <v>NO.</v>
      </c>
      <c r="R1628" s="28">
        <f t="shared" ref="R1628:R1633" si="207">P1628*M1628</f>
        <v>361.62</v>
      </c>
      <c r="AG1628" s="47">
        <f t="shared" si="205"/>
        <v>0</v>
      </c>
    </row>
    <row r="1629" spans="6:33" ht="24" customHeight="1">
      <c r="F1629" s="40">
        <v>2</v>
      </c>
      <c r="G1629" s="38" t="s">
        <v>105</v>
      </c>
      <c r="H1629" s="26" t="s">
        <v>1739</v>
      </c>
      <c r="I1629" s="40">
        <f>C597</f>
        <v>21.2</v>
      </c>
      <c r="J1629" s="26" t="s">
        <v>105</v>
      </c>
      <c r="K1629" s="40">
        <f t="shared" si="206"/>
        <v>42.4</v>
      </c>
      <c r="M1629" s="40">
        <v>1</v>
      </c>
      <c r="N1629" s="38" t="s">
        <v>105</v>
      </c>
      <c r="O1629" s="26" t="s">
        <v>1737</v>
      </c>
      <c r="P1629" s="28">
        <v>76.78</v>
      </c>
      <c r="Q1629" s="28" t="str">
        <f>J1629</f>
        <v>NO.</v>
      </c>
      <c r="R1629" s="28">
        <f t="shared" si="207"/>
        <v>76.78</v>
      </c>
      <c r="AG1629" s="47">
        <f t="shared" si="205"/>
        <v>0</v>
      </c>
    </row>
    <row r="1630" spans="6:33" ht="24" customHeight="1">
      <c r="F1630" s="40">
        <v>1</v>
      </c>
      <c r="G1630" s="38" t="s">
        <v>105</v>
      </c>
      <c r="H1630" s="26" t="s">
        <v>1740</v>
      </c>
      <c r="I1630" s="40">
        <f>(C696)</f>
        <v>31.5</v>
      </c>
      <c r="J1630" s="26" t="s">
        <v>105</v>
      </c>
      <c r="K1630" s="40">
        <f t="shared" si="206"/>
        <v>31.5</v>
      </c>
      <c r="M1630" s="40">
        <v>1</v>
      </c>
      <c r="N1630" s="38" t="s">
        <v>105</v>
      </c>
      <c r="O1630" s="26" t="s">
        <v>1738</v>
      </c>
      <c r="P1630" s="28">
        <f>I1628</f>
        <v>71</v>
      </c>
      <c r="Q1630" s="28" t="str">
        <f>J1630</f>
        <v>NO.</v>
      </c>
      <c r="R1630" s="28">
        <f t="shared" si="207"/>
        <v>71</v>
      </c>
      <c r="AG1630" s="47">
        <f t="shared" si="205"/>
        <v>0</v>
      </c>
    </row>
    <row r="1631" spans="6:33" ht="24" customHeight="1">
      <c r="F1631" s="40">
        <v>0.5</v>
      </c>
      <c r="G1631" s="38" t="s">
        <v>105</v>
      </c>
      <c r="H1631" s="26" t="s">
        <v>1741</v>
      </c>
      <c r="I1631" s="40">
        <f>(C15)</f>
        <v>933.8</v>
      </c>
      <c r="J1631" s="26" t="s">
        <v>105</v>
      </c>
      <c r="K1631" s="40">
        <f t="shared" si="206"/>
        <v>466.9</v>
      </c>
      <c r="M1631" s="39">
        <v>2</v>
      </c>
      <c r="N1631" s="100" t="s">
        <v>1336</v>
      </c>
      <c r="O1631" s="272" t="s">
        <v>1742</v>
      </c>
      <c r="P1631" s="112">
        <v>12</v>
      </c>
      <c r="Q1631" s="28" t="str">
        <f>J1631</f>
        <v>NO.</v>
      </c>
      <c r="R1631" s="28">
        <f t="shared" si="207"/>
        <v>24</v>
      </c>
      <c r="AG1631" s="47">
        <f t="shared" si="205"/>
        <v>0</v>
      </c>
    </row>
    <row r="1632" spans="6:33" ht="24" customHeight="1">
      <c r="G1632" s="38" t="s">
        <v>106</v>
      </c>
      <c r="H1632" s="26" t="s">
        <v>1743</v>
      </c>
      <c r="J1632" s="26" t="s">
        <v>106</v>
      </c>
      <c r="K1632" s="40"/>
      <c r="M1632" s="40">
        <v>1</v>
      </c>
      <c r="N1632" s="273" t="s">
        <v>1336</v>
      </c>
      <c r="O1632" s="26" t="s">
        <v>1740</v>
      </c>
      <c r="P1632" s="28">
        <f>I1630</f>
        <v>31.5</v>
      </c>
      <c r="Q1632" s="28" t="str">
        <f>J1632</f>
        <v>L.S</v>
      </c>
      <c r="R1632" s="28">
        <f t="shared" si="207"/>
        <v>31.5</v>
      </c>
      <c r="AG1632" s="47">
        <f t="shared" si="205"/>
        <v>0</v>
      </c>
    </row>
    <row r="1633" spans="6:33" ht="24" customHeight="1">
      <c r="H1633" s="26" t="s">
        <v>1744</v>
      </c>
      <c r="M1633" s="40">
        <v>0.5</v>
      </c>
      <c r="N1633" s="273" t="s">
        <v>1336</v>
      </c>
      <c r="O1633" s="26" t="s">
        <v>1741</v>
      </c>
      <c r="P1633" s="28">
        <f>I1631</f>
        <v>933.8</v>
      </c>
      <c r="R1633" s="28">
        <f t="shared" si="207"/>
        <v>466.9</v>
      </c>
      <c r="AG1633" s="47">
        <f t="shared" si="205"/>
        <v>0</v>
      </c>
    </row>
    <row r="1634" spans="6:33" ht="24" customHeight="1">
      <c r="K1634" s="35" t="s">
        <v>48</v>
      </c>
      <c r="N1634" s="273" t="s">
        <v>1336</v>
      </c>
      <c r="O1634" s="26" t="s">
        <v>1743</v>
      </c>
      <c r="P1634" s="28">
        <f>I1634</f>
        <v>0</v>
      </c>
      <c r="AG1634" s="47">
        <f t="shared" si="205"/>
        <v>0</v>
      </c>
    </row>
    <row r="1635" spans="6:33" ht="24" customHeight="1">
      <c r="H1635" s="26" t="s">
        <v>1745</v>
      </c>
      <c r="K1635" s="40">
        <f>SUM(K1626:K1632)</f>
        <v>1049.42</v>
      </c>
      <c r="O1635" s="26" t="s">
        <v>1744</v>
      </c>
      <c r="R1635" s="28">
        <f>26.98+4.7</f>
        <v>31.68</v>
      </c>
      <c r="AG1635" s="47">
        <f t="shared" si="205"/>
        <v>0</v>
      </c>
    </row>
    <row r="1636" spans="6:33" ht="24" customHeight="1">
      <c r="F1636" s="26" t="s">
        <v>27</v>
      </c>
      <c r="AG1636" s="47">
        <f t="shared" si="205"/>
        <v>0</v>
      </c>
    </row>
    <row r="1637" spans="6:33" ht="24" customHeight="1">
      <c r="K1637" s="35" t="s">
        <v>48</v>
      </c>
      <c r="O1637" s="26" t="s">
        <v>1745</v>
      </c>
      <c r="R1637" s="41">
        <f>SUM(R1628:R1636)</f>
        <v>1063.48</v>
      </c>
      <c r="AG1637" s="47">
        <f t="shared" si="205"/>
        <v>0</v>
      </c>
    </row>
    <row r="1638" spans="6:33" ht="24" customHeight="1">
      <c r="H1638" s="42" t="s">
        <v>665</v>
      </c>
      <c r="I1638" s="41"/>
      <c r="J1638" s="86"/>
      <c r="K1638" s="39">
        <f>(K1635/3)</f>
        <v>349.80666666666667</v>
      </c>
      <c r="AG1638" s="47">
        <f t="shared" si="205"/>
        <v>0</v>
      </c>
    </row>
    <row r="1639" spans="6:33" ht="24" customHeight="1">
      <c r="H1639" s="26"/>
      <c r="K1639" s="35" t="s">
        <v>41</v>
      </c>
      <c r="N1639" s="29"/>
      <c r="Q1639" s="31"/>
      <c r="R1639" s="35" t="s">
        <v>48</v>
      </c>
      <c r="AG1639" s="47">
        <f t="shared" si="205"/>
        <v>0</v>
      </c>
    </row>
    <row r="1640" spans="6:33" ht="24" customHeight="1">
      <c r="F1640" s="27" t="s">
        <v>1746</v>
      </c>
      <c r="H1640" s="26" t="s">
        <v>1747</v>
      </c>
      <c r="N1640" s="29"/>
      <c r="O1640" s="42" t="s">
        <v>665</v>
      </c>
      <c r="P1640" s="41"/>
      <c r="Q1640" s="86"/>
      <c r="R1640" s="39">
        <f>(R1637/3)</f>
        <v>354.49333333333334</v>
      </c>
      <c r="S1640" s="32">
        <f>310*3</f>
        <v>930</v>
      </c>
      <c r="T1640" s="28">
        <f>S1640-R1637</f>
        <v>-133.48000000000002</v>
      </c>
      <c r="AG1640" s="47">
        <f t="shared" si="205"/>
        <v>0</v>
      </c>
    </row>
    <row r="1641" spans="6:33" ht="24" customHeight="1">
      <c r="H1641" s="26" t="s">
        <v>1748</v>
      </c>
      <c r="N1641" s="29"/>
      <c r="O1641" s="26"/>
      <c r="Q1641" s="31"/>
      <c r="R1641" s="35" t="s">
        <v>41</v>
      </c>
      <c r="AG1641" s="47">
        <f t="shared" si="205"/>
        <v>0</v>
      </c>
    </row>
    <row r="1642" spans="6:33" ht="24" customHeight="1">
      <c r="H1642" s="26" t="s">
        <v>1749</v>
      </c>
      <c r="AG1642" s="47">
        <f t="shared" si="205"/>
        <v>0</v>
      </c>
    </row>
    <row r="1643" spans="6:33" ht="24" customHeight="1">
      <c r="H1643" s="35" t="s">
        <v>48</v>
      </c>
      <c r="AG1643" s="47">
        <f t="shared" si="205"/>
        <v>0</v>
      </c>
    </row>
    <row r="1644" spans="6:33" ht="24" customHeight="1">
      <c r="F1644" s="40">
        <v>0.15</v>
      </c>
      <c r="G1644" s="38" t="s">
        <v>93</v>
      </c>
      <c r="H1644" s="26" t="s">
        <v>1750</v>
      </c>
      <c r="I1644" s="40">
        <f>(C70)</f>
        <v>2252.4699999999998</v>
      </c>
      <c r="J1644" s="26" t="s">
        <v>93</v>
      </c>
      <c r="K1644" s="40">
        <f>(F1644*I1644)</f>
        <v>337.87049999999994</v>
      </c>
      <c r="AG1644" s="47">
        <f t="shared" si="205"/>
        <v>0</v>
      </c>
    </row>
    <row r="1645" spans="6:33" ht="24" customHeight="1">
      <c r="F1645" s="107">
        <v>8.6499999999999994E-2</v>
      </c>
      <c r="G1645" s="38" t="s">
        <v>84</v>
      </c>
      <c r="H1645" s="26" t="s">
        <v>85</v>
      </c>
      <c r="I1645" s="40">
        <f>(C67)</f>
        <v>5800</v>
      </c>
      <c r="J1645" s="26" t="s">
        <v>84</v>
      </c>
      <c r="K1645" s="40">
        <f>(F1645*I1645)</f>
        <v>501.7</v>
      </c>
      <c r="AG1645" s="47">
        <f t="shared" si="205"/>
        <v>0</v>
      </c>
    </row>
    <row r="1646" spans="6:33" ht="24" customHeight="1">
      <c r="F1646" s="40">
        <v>1.6</v>
      </c>
      <c r="G1646" s="38" t="s">
        <v>196</v>
      </c>
      <c r="H1646" s="26" t="s">
        <v>298</v>
      </c>
      <c r="I1646" s="40">
        <f>(C10)</f>
        <v>1076.5999999999999</v>
      </c>
      <c r="J1646" s="26" t="s">
        <v>196</v>
      </c>
      <c r="K1646" s="40">
        <f>(F1646*I1646)</f>
        <v>1722.56</v>
      </c>
      <c r="AG1646" s="47">
        <f t="shared" si="205"/>
        <v>0</v>
      </c>
    </row>
    <row r="1647" spans="6:33" ht="24" customHeight="1">
      <c r="F1647" s="40">
        <v>0.5</v>
      </c>
      <c r="G1647" s="38" t="s">
        <v>196</v>
      </c>
      <c r="H1647" s="26" t="s">
        <v>271</v>
      </c>
      <c r="I1647" s="40">
        <f>(C12)</f>
        <v>702.8</v>
      </c>
      <c r="J1647" s="26" t="s">
        <v>196</v>
      </c>
      <c r="K1647" s="40">
        <f>(F1647*I1647)</f>
        <v>351.4</v>
      </c>
      <c r="AG1647" s="47">
        <f t="shared" si="205"/>
        <v>0</v>
      </c>
    </row>
    <row r="1648" spans="6:33" ht="24" customHeight="1">
      <c r="F1648" s="40">
        <v>1.1000000000000001</v>
      </c>
      <c r="G1648" s="38" t="s">
        <v>196</v>
      </c>
      <c r="H1648" s="26" t="s">
        <v>276</v>
      </c>
      <c r="I1648" s="40">
        <f>(C13)</f>
        <v>576.79999999999995</v>
      </c>
      <c r="J1648" s="26" t="s">
        <v>196</v>
      </c>
      <c r="K1648" s="40">
        <f>(F1648*I1648)</f>
        <v>634.48</v>
      </c>
      <c r="AG1648" s="47">
        <f t="shared" si="205"/>
        <v>0</v>
      </c>
    </row>
    <row r="1649" spans="6:33" ht="24" customHeight="1">
      <c r="G1649" s="38" t="s">
        <v>106</v>
      </c>
      <c r="H1649" s="26" t="s">
        <v>107</v>
      </c>
      <c r="I1649" s="26" t="s">
        <v>27</v>
      </c>
      <c r="J1649" s="26" t="s">
        <v>106</v>
      </c>
      <c r="K1649" s="40">
        <v>0</v>
      </c>
      <c r="AG1649" s="47">
        <f t="shared" si="205"/>
        <v>0</v>
      </c>
    </row>
    <row r="1650" spans="6:33" ht="24" customHeight="1">
      <c r="K1650" s="35" t="s">
        <v>48</v>
      </c>
      <c r="AG1650" s="47">
        <f t="shared" si="205"/>
        <v>0</v>
      </c>
    </row>
    <row r="1651" spans="6:33" ht="24" customHeight="1">
      <c r="H1651" s="26" t="s">
        <v>401</v>
      </c>
      <c r="K1651" s="40">
        <f>SUM(K1644:K1649)</f>
        <v>3548.0104999999999</v>
      </c>
      <c r="AG1651" s="47">
        <f t="shared" si="205"/>
        <v>0</v>
      </c>
    </row>
    <row r="1652" spans="6:33" ht="24" customHeight="1">
      <c r="K1652" s="35" t="s">
        <v>48</v>
      </c>
      <c r="AG1652" s="47">
        <f t="shared" si="205"/>
        <v>0</v>
      </c>
    </row>
    <row r="1653" spans="6:33" ht="24" customHeight="1">
      <c r="H1653" s="42" t="s">
        <v>403</v>
      </c>
      <c r="I1653" s="41"/>
      <c r="J1653" s="86"/>
      <c r="K1653" s="39">
        <f>(K1651/10)</f>
        <v>354.80104999999998</v>
      </c>
      <c r="AG1653" s="47">
        <f t="shared" si="205"/>
        <v>0</v>
      </c>
    </row>
    <row r="1654" spans="6:33" ht="24" customHeight="1">
      <c r="K1654" s="35" t="s">
        <v>41</v>
      </c>
      <c r="AG1654" s="47">
        <f t="shared" si="205"/>
        <v>0</v>
      </c>
    </row>
    <row r="1655" spans="6:33" ht="24" customHeight="1">
      <c r="F1655" s="27" t="s">
        <v>1751</v>
      </c>
      <c r="G1655" s="38" t="s">
        <v>67</v>
      </c>
      <c r="H1655" s="26" t="s">
        <v>1752</v>
      </c>
      <c r="AG1655" s="47">
        <f t="shared" si="205"/>
        <v>0</v>
      </c>
    </row>
    <row r="1656" spans="6:33" ht="24" customHeight="1">
      <c r="H1656" s="26" t="s">
        <v>1753</v>
      </c>
      <c r="AG1656" s="47">
        <f t="shared" si="205"/>
        <v>0</v>
      </c>
    </row>
    <row r="1657" spans="6:33" ht="24" customHeight="1">
      <c r="H1657" s="26" t="s">
        <v>1754</v>
      </c>
      <c r="J1657" s="26" t="s">
        <v>27</v>
      </c>
      <c r="AG1657" s="47">
        <f t="shared" si="205"/>
        <v>0</v>
      </c>
    </row>
    <row r="1658" spans="6:33" ht="24" customHeight="1">
      <c r="H1658" s="26" t="s">
        <v>1755</v>
      </c>
      <c r="AG1658" s="47">
        <f t="shared" si="205"/>
        <v>0</v>
      </c>
    </row>
    <row r="1659" spans="6:33" ht="24" customHeight="1">
      <c r="H1659" s="26" t="s">
        <v>1756</v>
      </c>
      <c r="AG1659" s="47">
        <f t="shared" si="205"/>
        <v>0</v>
      </c>
    </row>
    <row r="1660" spans="6:33" ht="24" customHeight="1">
      <c r="H1660" s="26" t="s">
        <v>1757</v>
      </c>
      <c r="AG1660" s="47">
        <f t="shared" si="205"/>
        <v>0</v>
      </c>
    </row>
    <row r="1661" spans="6:33" ht="24" customHeight="1">
      <c r="H1661" s="26" t="s">
        <v>1758</v>
      </c>
      <c r="AG1661" s="47">
        <f t="shared" si="205"/>
        <v>0</v>
      </c>
    </row>
    <row r="1662" spans="6:33" ht="24" customHeight="1">
      <c r="H1662" s="26" t="s">
        <v>1759</v>
      </c>
      <c r="AG1662" s="47">
        <f t="shared" ref="AG1662:AG1695" si="208">AI1662</f>
        <v>0</v>
      </c>
    </row>
    <row r="1663" spans="6:33" ht="24" customHeight="1">
      <c r="H1663" s="26" t="s">
        <v>1760</v>
      </c>
      <c r="AG1663" s="47">
        <f t="shared" si="208"/>
        <v>0</v>
      </c>
    </row>
    <row r="1664" spans="6:33" ht="24" customHeight="1">
      <c r="H1664" s="35" t="s">
        <v>41</v>
      </c>
      <c r="AG1664" s="47">
        <f t="shared" si="208"/>
        <v>0</v>
      </c>
    </row>
    <row r="1665" spans="6:33" ht="24" customHeight="1">
      <c r="AG1665" s="47">
        <f t="shared" si="208"/>
        <v>0</v>
      </c>
    </row>
    <row r="1666" spans="6:33" ht="24" customHeight="1">
      <c r="F1666" s="40">
        <v>1</v>
      </c>
      <c r="G1666" s="38" t="s">
        <v>1125</v>
      </c>
      <c r="H1666" s="26" t="s">
        <v>1761</v>
      </c>
      <c r="I1666" s="150">
        <v>45.72</v>
      </c>
      <c r="J1666" s="26" t="s">
        <v>1125</v>
      </c>
      <c r="K1666" s="40">
        <f>(F1666*I1666)</f>
        <v>45.72</v>
      </c>
      <c r="AG1666" s="47">
        <f t="shared" si="208"/>
        <v>0</v>
      </c>
    </row>
    <row r="1667" spans="6:33" ht="24" customHeight="1">
      <c r="F1667" s="40">
        <v>1</v>
      </c>
      <c r="G1667" s="38" t="s">
        <v>1762</v>
      </c>
      <c r="H1667" s="26" t="s">
        <v>1763</v>
      </c>
      <c r="I1667" s="150">
        <v>5</v>
      </c>
      <c r="J1667" s="26" t="s">
        <v>1762</v>
      </c>
      <c r="K1667" s="40">
        <f>(F1667*I1667)</f>
        <v>5</v>
      </c>
      <c r="AG1667" s="47">
        <f t="shared" si="208"/>
        <v>0</v>
      </c>
    </row>
    <row r="1668" spans="6:33" ht="24" customHeight="1">
      <c r="G1668" s="38" t="s">
        <v>106</v>
      </c>
      <c r="H1668" s="26" t="s">
        <v>1764</v>
      </c>
      <c r="J1668" s="26" t="s">
        <v>106</v>
      </c>
      <c r="K1668" s="40">
        <v>7.28</v>
      </c>
      <c r="AG1668" s="47">
        <f t="shared" si="208"/>
        <v>0</v>
      </c>
    </row>
    <row r="1669" spans="6:33" ht="24" customHeight="1">
      <c r="K1669" s="35" t="s">
        <v>48</v>
      </c>
      <c r="AG1669" s="47">
        <f t="shared" si="208"/>
        <v>0</v>
      </c>
    </row>
    <row r="1670" spans="6:33" ht="24" customHeight="1">
      <c r="H1670" s="27" t="s">
        <v>1765</v>
      </c>
      <c r="K1670" s="40">
        <f>SUM(K1666:K1668)</f>
        <v>58</v>
      </c>
      <c r="AG1670" s="47">
        <f t="shared" si="208"/>
        <v>0</v>
      </c>
    </row>
    <row r="1671" spans="6:33" ht="24" customHeight="1">
      <c r="K1671" s="35" t="s">
        <v>41</v>
      </c>
      <c r="AG1671" s="47">
        <f t="shared" si="208"/>
        <v>0</v>
      </c>
    </row>
    <row r="1672" spans="6:33" ht="24" customHeight="1">
      <c r="F1672" s="27" t="s">
        <v>1766</v>
      </c>
      <c r="G1672" s="38" t="s">
        <v>67</v>
      </c>
      <c r="H1672" s="26" t="s">
        <v>1767</v>
      </c>
      <c r="AG1672" s="47">
        <f t="shared" si="208"/>
        <v>0</v>
      </c>
    </row>
    <row r="1673" spans="6:33" ht="24" customHeight="1">
      <c r="H1673" s="26" t="s">
        <v>1768</v>
      </c>
      <c r="AG1673" s="47">
        <f t="shared" si="208"/>
        <v>0</v>
      </c>
    </row>
    <row r="1674" spans="6:33" ht="24" customHeight="1">
      <c r="H1674" s="26" t="s">
        <v>1769</v>
      </c>
      <c r="AG1674" s="47">
        <f t="shared" si="208"/>
        <v>0</v>
      </c>
    </row>
    <row r="1675" spans="6:33" ht="24" customHeight="1">
      <c r="H1675" s="26" t="s">
        <v>1770</v>
      </c>
      <c r="AG1675" s="47">
        <f t="shared" si="208"/>
        <v>0</v>
      </c>
    </row>
    <row r="1676" spans="6:33" ht="24" customHeight="1">
      <c r="H1676" s="26" t="s">
        <v>1771</v>
      </c>
      <c r="AG1676" s="47">
        <f t="shared" si="208"/>
        <v>0</v>
      </c>
    </row>
    <row r="1677" spans="6:33" ht="24" customHeight="1">
      <c r="H1677" s="35" t="s">
        <v>48</v>
      </c>
      <c r="I1677" s="35" t="s">
        <v>48</v>
      </c>
      <c r="AG1677" s="47">
        <f t="shared" si="208"/>
        <v>0</v>
      </c>
    </row>
    <row r="1678" spans="6:33" ht="24" customHeight="1">
      <c r="F1678" s="40">
        <v>1</v>
      </c>
      <c r="G1678" s="38" t="s">
        <v>1772</v>
      </c>
      <c r="H1678" s="26" t="s">
        <v>1773</v>
      </c>
      <c r="I1678" s="150">
        <v>85</v>
      </c>
      <c r="J1678" s="26" t="s">
        <v>793</v>
      </c>
      <c r="K1678" s="40">
        <f>(F1678*I1678)</f>
        <v>85</v>
      </c>
      <c r="AG1678" s="47">
        <f t="shared" si="208"/>
        <v>0</v>
      </c>
    </row>
    <row r="1679" spans="6:33" ht="24" customHeight="1">
      <c r="G1679" s="38" t="s">
        <v>106</v>
      </c>
      <c r="H1679" s="26" t="s">
        <v>1774</v>
      </c>
      <c r="J1679" s="26" t="s">
        <v>106</v>
      </c>
      <c r="K1679" s="40">
        <v>7.5</v>
      </c>
      <c r="AG1679" s="47">
        <f t="shared" si="208"/>
        <v>0</v>
      </c>
    </row>
    <row r="1680" spans="6:33" ht="24" customHeight="1">
      <c r="G1680" s="38" t="s">
        <v>106</v>
      </c>
      <c r="H1680" s="26" t="s">
        <v>1775</v>
      </c>
      <c r="J1680" s="26" t="s">
        <v>106</v>
      </c>
      <c r="K1680" s="40">
        <f>1.75+0.75</f>
        <v>2.5</v>
      </c>
      <c r="AG1680" s="47">
        <f t="shared" si="208"/>
        <v>0</v>
      </c>
    </row>
    <row r="1681" spans="6:33" ht="24" customHeight="1">
      <c r="H1681" s="26" t="s">
        <v>1776</v>
      </c>
      <c r="K1681" s="35" t="s">
        <v>48</v>
      </c>
      <c r="AG1681" s="47">
        <f t="shared" si="208"/>
        <v>0</v>
      </c>
    </row>
    <row r="1682" spans="6:33" ht="24" customHeight="1">
      <c r="H1682" s="27" t="s">
        <v>1765</v>
      </c>
      <c r="K1682" s="40">
        <f>SUM(K1678:K1680)</f>
        <v>95</v>
      </c>
      <c r="AG1682" s="47">
        <f t="shared" si="208"/>
        <v>0</v>
      </c>
    </row>
    <row r="1683" spans="6:33" ht="24" customHeight="1">
      <c r="K1683" s="35" t="s">
        <v>41</v>
      </c>
      <c r="AG1683" s="47">
        <f t="shared" si="208"/>
        <v>0</v>
      </c>
    </row>
    <row r="1684" spans="6:33" ht="24" customHeight="1">
      <c r="F1684" s="27" t="s">
        <v>1777</v>
      </c>
      <c r="G1684" s="38" t="s">
        <v>67</v>
      </c>
      <c r="H1684" s="26" t="s">
        <v>1778</v>
      </c>
      <c r="AG1684" s="47">
        <f t="shared" si="208"/>
        <v>0</v>
      </c>
    </row>
    <row r="1685" spans="6:33" ht="24" customHeight="1">
      <c r="H1685" s="26" t="s">
        <v>1779</v>
      </c>
      <c r="K1685" s="26" t="s">
        <v>27</v>
      </c>
      <c r="AG1685" s="47">
        <f t="shared" si="208"/>
        <v>0</v>
      </c>
    </row>
    <row r="1686" spans="6:33" ht="24" customHeight="1">
      <c r="H1686" s="35" t="s">
        <v>48</v>
      </c>
      <c r="AG1686" s="47">
        <f t="shared" si="208"/>
        <v>0</v>
      </c>
    </row>
    <row r="1687" spans="6:33" ht="24" customHeight="1">
      <c r="F1687" s="40">
        <v>1</v>
      </c>
      <c r="G1687" s="38" t="s">
        <v>1772</v>
      </c>
      <c r="H1687" s="26" t="s">
        <v>1780</v>
      </c>
      <c r="I1687" s="150">
        <v>50</v>
      </c>
      <c r="J1687" s="26" t="s">
        <v>793</v>
      </c>
      <c r="K1687" s="40">
        <f>(F1687*I1687)</f>
        <v>50</v>
      </c>
      <c r="AG1687" s="47">
        <f t="shared" si="208"/>
        <v>0</v>
      </c>
    </row>
    <row r="1688" spans="6:33" ht="24" customHeight="1">
      <c r="G1688" s="38" t="s">
        <v>106</v>
      </c>
      <c r="H1688" s="26" t="s">
        <v>1781</v>
      </c>
      <c r="J1688" s="26" t="s">
        <v>106</v>
      </c>
      <c r="K1688" s="40">
        <v>5</v>
      </c>
      <c r="AG1688" s="47">
        <f t="shared" si="208"/>
        <v>0</v>
      </c>
    </row>
    <row r="1689" spans="6:33" ht="24" customHeight="1">
      <c r="K1689" s="35" t="s">
        <v>48</v>
      </c>
      <c r="AG1689" s="47">
        <f t="shared" si="208"/>
        <v>0</v>
      </c>
    </row>
    <row r="1690" spans="6:33" ht="24" customHeight="1">
      <c r="H1690" s="27" t="s">
        <v>1782</v>
      </c>
      <c r="K1690" s="40">
        <f>SUM(K1686:K1688)</f>
        <v>55</v>
      </c>
      <c r="AG1690" s="47">
        <f t="shared" si="208"/>
        <v>0</v>
      </c>
    </row>
    <row r="1691" spans="6:33" ht="24" customHeight="1">
      <c r="K1691" s="35" t="s">
        <v>41</v>
      </c>
      <c r="AG1691" s="47">
        <f t="shared" si="208"/>
        <v>0</v>
      </c>
    </row>
    <row r="1692" spans="6:33" ht="24" customHeight="1">
      <c r="F1692" s="27" t="s">
        <v>1783</v>
      </c>
      <c r="G1692" s="38" t="s">
        <v>67</v>
      </c>
      <c r="H1692" s="26" t="s">
        <v>1784</v>
      </c>
      <c r="AG1692" s="47">
        <f t="shared" si="208"/>
        <v>0</v>
      </c>
    </row>
    <row r="1693" spans="6:33" ht="24" customHeight="1">
      <c r="H1693" s="35" t="s">
        <v>48</v>
      </c>
      <c r="I1693" s="35" t="s">
        <v>48</v>
      </c>
      <c r="AG1693" s="47">
        <f t="shared" si="208"/>
        <v>0</v>
      </c>
    </row>
    <row r="1694" spans="6:33" ht="24" customHeight="1">
      <c r="F1694" s="40">
        <v>1</v>
      </c>
      <c r="G1694" s="38" t="s">
        <v>1772</v>
      </c>
      <c r="H1694" s="26" t="s">
        <v>1785</v>
      </c>
      <c r="I1694" s="150">
        <v>1.2</v>
      </c>
      <c r="J1694" s="26" t="s">
        <v>793</v>
      </c>
      <c r="K1694" s="40">
        <f>(F1694*I1694)</f>
        <v>1.2</v>
      </c>
      <c r="AG1694" s="47">
        <f t="shared" si="208"/>
        <v>0</v>
      </c>
    </row>
    <row r="1695" spans="6:33" ht="24" customHeight="1">
      <c r="G1695" s="38" t="s">
        <v>106</v>
      </c>
      <c r="H1695" s="26" t="s">
        <v>1781</v>
      </c>
      <c r="J1695" s="26" t="s">
        <v>106</v>
      </c>
      <c r="K1695" s="40">
        <f>K1694*0.25</f>
        <v>0.3</v>
      </c>
      <c r="AG1695" s="47">
        <f t="shared" si="208"/>
        <v>0</v>
      </c>
    </row>
    <row r="1696" spans="6:33" ht="24" customHeight="1">
      <c r="K1696" s="35" t="s">
        <v>48</v>
      </c>
    </row>
    <row r="1697" spans="6:11" ht="24" customHeight="1">
      <c r="H1697" s="27" t="s">
        <v>1782</v>
      </c>
      <c r="K1697" s="40">
        <f>SUM(K1692:K1695)</f>
        <v>1.5</v>
      </c>
    </row>
    <row r="1698" spans="6:11" ht="24" customHeight="1">
      <c r="F1698" s="26" t="s">
        <v>27</v>
      </c>
      <c r="K1698" s="35" t="s">
        <v>48</v>
      </c>
    </row>
    <row r="1699" spans="6:11" ht="24" customHeight="1">
      <c r="F1699" s="77">
        <v>50.1</v>
      </c>
      <c r="G1699" s="38" t="s">
        <v>67</v>
      </c>
      <c r="H1699" s="26" t="s">
        <v>1786</v>
      </c>
    </row>
    <row r="1700" spans="6:11" ht="24" customHeight="1">
      <c r="H1700" s="26" t="s">
        <v>1787</v>
      </c>
    </row>
    <row r="1701" spans="6:11" ht="24" customHeight="1">
      <c r="H1701" s="26" t="s">
        <v>1788</v>
      </c>
    </row>
    <row r="1702" spans="6:11" ht="24" customHeight="1">
      <c r="H1702" s="26" t="s">
        <v>1789</v>
      </c>
    </row>
    <row r="1703" spans="6:11" ht="24" customHeight="1">
      <c r="H1703" s="26" t="s">
        <v>1790</v>
      </c>
    </row>
    <row r="1704" spans="6:11" ht="24" customHeight="1">
      <c r="H1704" s="35" t="s">
        <v>48</v>
      </c>
      <c r="I1704" s="35" t="s">
        <v>48</v>
      </c>
    </row>
    <row r="1705" spans="6:11" ht="24" customHeight="1">
      <c r="F1705" s="40">
        <v>9</v>
      </c>
      <c r="G1705" s="38" t="s">
        <v>249</v>
      </c>
      <c r="H1705" s="26" t="s">
        <v>1791</v>
      </c>
      <c r="I1705" s="40">
        <f>C73</f>
        <v>2923.8</v>
      </c>
      <c r="J1705" s="26" t="s">
        <v>249</v>
      </c>
      <c r="K1705" s="40">
        <f>(F1705*I1705)</f>
        <v>26314.2</v>
      </c>
    </row>
    <row r="1706" spans="6:11" ht="24" customHeight="1">
      <c r="F1706" s="40">
        <v>4.5</v>
      </c>
      <c r="G1706" s="38" t="s">
        <v>249</v>
      </c>
      <c r="H1706" s="26" t="s">
        <v>1792</v>
      </c>
      <c r="I1706" s="40">
        <f>K32</f>
        <v>5671.64</v>
      </c>
      <c r="J1706" s="26" t="s">
        <v>249</v>
      </c>
      <c r="K1706" s="40">
        <f>(F1706*I1706)</f>
        <v>25522.38</v>
      </c>
    </row>
    <row r="1707" spans="6:11" ht="24" customHeight="1">
      <c r="F1707" s="40">
        <v>1.8</v>
      </c>
      <c r="G1707" s="38" t="s">
        <v>791</v>
      </c>
      <c r="H1707" s="26" t="s">
        <v>1793</v>
      </c>
      <c r="I1707" s="40">
        <f>C11</f>
        <v>1005.1999999999999</v>
      </c>
      <c r="J1707" s="26" t="s">
        <v>793</v>
      </c>
      <c r="K1707" s="40">
        <f>(F1707*I1707)</f>
        <v>1809.36</v>
      </c>
    </row>
    <row r="1708" spans="6:11" ht="24" customHeight="1">
      <c r="F1708" s="40">
        <v>17.7</v>
      </c>
      <c r="G1708" s="38" t="s">
        <v>791</v>
      </c>
      <c r="H1708" s="26" t="s">
        <v>795</v>
      </c>
      <c r="I1708" s="40">
        <f>C12</f>
        <v>702.8</v>
      </c>
      <c r="J1708" s="26" t="s">
        <v>793</v>
      </c>
      <c r="K1708" s="40">
        <f>(F1708*I1708)</f>
        <v>12439.56</v>
      </c>
    </row>
    <row r="1709" spans="6:11" ht="24" customHeight="1">
      <c r="F1709" s="40">
        <v>14.1</v>
      </c>
      <c r="G1709" s="38" t="s">
        <v>791</v>
      </c>
      <c r="H1709" s="26" t="s">
        <v>1680</v>
      </c>
      <c r="I1709" s="40">
        <f>C13</f>
        <v>576.79999999999995</v>
      </c>
      <c r="J1709" s="26" t="s">
        <v>793</v>
      </c>
      <c r="K1709" s="40">
        <f>(F1709*I1709)</f>
        <v>8132.8799999999992</v>
      </c>
    </row>
    <row r="1710" spans="6:11" ht="24" customHeight="1">
      <c r="K1710" s="35" t="s">
        <v>48</v>
      </c>
    </row>
    <row r="1711" spans="6:11" ht="24" customHeight="1">
      <c r="H1711" s="27" t="s">
        <v>1794</v>
      </c>
      <c r="K1711" s="40">
        <f>SUM(K1705:K1709)</f>
        <v>74218.38</v>
      </c>
    </row>
    <row r="1712" spans="6:11" ht="24" customHeight="1">
      <c r="K1712" s="35" t="s">
        <v>48</v>
      </c>
    </row>
    <row r="1713" spans="6:11" ht="24" customHeight="1">
      <c r="H1713" s="27" t="s">
        <v>1795</v>
      </c>
      <c r="K1713" s="39">
        <f>(K1711/10)</f>
        <v>7421.8380000000006</v>
      </c>
    </row>
    <row r="1714" spans="6:11" ht="24" customHeight="1">
      <c r="K1714" s="35" t="s">
        <v>41</v>
      </c>
    </row>
    <row r="1716" spans="6:11" ht="24" customHeight="1">
      <c r="G1716" s="38" t="s">
        <v>386</v>
      </c>
      <c r="H1716" s="26" t="s">
        <v>1796</v>
      </c>
    </row>
    <row r="1717" spans="6:11" ht="24" customHeight="1">
      <c r="H1717" s="26" t="s">
        <v>1797</v>
      </c>
    </row>
    <row r="1718" spans="6:11" ht="24" customHeight="1">
      <c r="H1718" s="35" t="s">
        <v>48</v>
      </c>
      <c r="I1718" s="35" t="s">
        <v>48</v>
      </c>
    </row>
    <row r="1720" spans="6:11" ht="24" customHeight="1">
      <c r="F1720" s="76">
        <v>0.314</v>
      </c>
      <c r="G1720" s="38" t="s">
        <v>249</v>
      </c>
      <c r="H1720" s="26" t="s">
        <v>1798</v>
      </c>
      <c r="I1720" s="40">
        <f>K1713</f>
        <v>7421.8380000000006</v>
      </c>
      <c r="J1720" s="26" t="s">
        <v>249</v>
      </c>
      <c r="K1720" s="40">
        <f>(F1720*I1720)</f>
        <v>2330.457132</v>
      </c>
    </row>
    <row r="1721" spans="6:11" ht="24" customHeight="1">
      <c r="F1721" s="40">
        <v>18</v>
      </c>
      <c r="G1721" s="38" t="s">
        <v>791</v>
      </c>
      <c r="H1721" s="79" t="s">
        <v>1799</v>
      </c>
      <c r="I1721" s="133">
        <v>41.87</v>
      </c>
      <c r="J1721" s="26" t="s">
        <v>793</v>
      </c>
      <c r="K1721" s="40">
        <f>(F1721*I1721)</f>
        <v>753.66</v>
      </c>
    </row>
    <row r="1722" spans="6:11" ht="24" customHeight="1">
      <c r="F1722" s="40">
        <v>18</v>
      </c>
      <c r="G1722" s="38" t="s">
        <v>791</v>
      </c>
      <c r="H1722" s="26" t="s">
        <v>1800</v>
      </c>
      <c r="I1722" s="40">
        <v>1</v>
      </c>
      <c r="J1722" s="26" t="s">
        <v>793</v>
      </c>
      <c r="K1722" s="40">
        <f>(F1722*I1722)</f>
        <v>18</v>
      </c>
    </row>
    <row r="1723" spans="6:11" ht="24" customHeight="1">
      <c r="F1723" s="40">
        <v>18</v>
      </c>
      <c r="G1723" s="38" t="s">
        <v>791</v>
      </c>
      <c r="H1723" s="26" t="s">
        <v>1801</v>
      </c>
      <c r="I1723" s="40">
        <v>2</v>
      </c>
      <c r="J1723" s="26" t="s">
        <v>793</v>
      </c>
      <c r="K1723" s="40">
        <f>(F1723*I1723)</f>
        <v>36</v>
      </c>
    </row>
    <row r="1724" spans="6:11" ht="24" customHeight="1">
      <c r="K1724" s="35" t="s">
        <v>48</v>
      </c>
    </row>
    <row r="1725" spans="6:11" ht="24" customHeight="1">
      <c r="H1725" s="27" t="s">
        <v>1802</v>
      </c>
      <c r="K1725" s="40">
        <f>SUM(K1719:K1723)</f>
        <v>3138.1171319999999</v>
      </c>
    </row>
    <row r="1726" spans="6:11" ht="24" customHeight="1">
      <c r="K1726" s="35" t="s">
        <v>48</v>
      </c>
    </row>
    <row r="1727" spans="6:11" ht="24" customHeight="1">
      <c r="H1727" s="27" t="s">
        <v>1803</v>
      </c>
      <c r="K1727" s="39">
        <f>(K1725/6.28)</f>
        <v>499.70018025477702</v>
      </c>
    </row>
    <row r="1728" spans="6:11" ht="24" customHeight="1">
      <c r="K1728" s="35" t="s">
        <v>41</v>
      </c>
    </row>
    <row r="1729" spans="6:11" ht="24" customHeight="1">
      <c r="F1729" s="26" t="s">
        <v>27</v>
      </c>
      <c r="H1729" s="26" t="s">
        <v>1804</v>
      </c>
    </row>
    <row r="1730" spans="6:11" ht="24" customHeight="1">
      <c r="H1730" s="35" t="s">
        <v>48</v>
      </c>
    </row>
    <row r="1731" spans="6:11" ht="24" customHeight="1">
      <c r="F1731" s="76">
        <v>0.01</v>
      </c>
      <c r="G1731" s="38" t="s">
        <v>249</v>
      </c>
      <c r="H1731" s="26" t="s">
        <v>1798</v>
      </c>
      <c r="I1731" s="40">
        <f>K1713</f>
        <v>7421.8380000000006</v>
      </c>
      <c r="J1731" s="26" t="s">
        <v>249</v>
      </c>
      <c r="K1731" s="40">
        <f>ROUND(F1731*I1731,2)</f>
        <v>74.22</v>
      </c>
    </row>
    <row r="1732" spans="6:11" ht="24" customHeight="1">
      <c r="F1732" s="40">
        <v>0.01</v>
      </c>
      <c r="G1732" s="38" t="s">
        <v>475</v>
      </c>
      <c r="H1732" s="26" t="s">
        <v>1805</v>
      </c>
      <c r="I1732" s="138" t="s">
        <v>363</v>
      </c>
      <c r="K1732" s="40">
        <v>1.2</v>
      </c>
    </row>
    <row r="1733" spans="6:11" ht="24" customHeight="1">
      <c r="I1733" s="117"/>
      <c r="K1733" s="35" t="s">
        <v>48</v>
      </c>
    </row>
    <row r="1734" spans="6:11" ht="24" customHeight="1">
      <c r="H1734" s="27" t="s">
        <v>1806</v>
      </c>
      <c r="K1734" s="40">
        <f>SUM(K1728:K1732)</f>
        <v>75.42</v>
      </c>
    </row>
    <row r="1735" spans="6:11" ht="24" customHeight="1">
      <c r="K1735" s="35" t="s">
        <v>48</v>
      </c>
    </row>
    <row r="1736" spans="6:11" ht="24" customHeight="1">
      <c r="H1736" s="27" t="s">
        <v>1807</v>
      </c>
      <c r="K1736" s="40">
        <f>K1734/0.01</f>
        <v>7542</v>
      </c>
    </row>
    <row r="1737" spans="6:11" ht="24" customHeight="1">
      <c r="K1737" s="35" t="s">
        <v>41</v>
      </c>
    </row>
    <row r="1738" spans="6:11" ht="24" customHeight="1">
      <c r="F1738" s="27" t="s">
        <v>1808</v>
      </c>
      <c r="G1738" s="38" t="s">
        <v>386</v>
      </c>
      <c r="H1738" s="26" t="s">
        <v>1796</v>
      </c>
    </row>
    <row r="1739" spans="6:11" ht="24" customHeight="1">
      <c r="H1739" s="30" t="s">
        <v>1809</v>
      </c>
    </row>
    <row r="1740" spans="6:11" ht="24" customHeight="1">
      <c r="H1740" s="35" t="s">
        <v>48</v>
      </c>
      <c r="I1740" s="35" t="s">
        <v>48</v>
      </c>
    </row>
    <row r="1741" spans="6:11" ht="24" customHeight="1">
      <c r="F1741" s="76">
        <v>0.40500000000000003</v>
      </c>
      <c r="G1741" s="38" t="s">
        <v>249</v>
      </c>
      <c r="H1741" s="26" t="s">
        <v>1798</v>
      </c>
      <c r="I1741" s="40">
        <f>K1736</f>
        <v>7542</v>
      </c>
      <c r="J1741" s="26" t="s">
        <v>249</v>
      </c>
      <c r="K1741" s="40">
        <f>(F1741*I1741)</f>
        <v>3054.51</v>
      </c>
    </row>
    <row r="1742" spans="6:11" ht="24" customHeight="1">
      <c r="F1742" s="26" t="s">
        <v>27</v>
      </c>
      <c r="G1742" s="38" t="s">
        <v>27</v>
      </c>
      <c r="H1742" s="26" t="s">
        <v>1810</v>
      </c>
      <c r="I1742" s="138" t="s">
        <v>363</v>
      </c>
      <c r="K1742" s="26" t="s">
        <v>27</v>
      </c>
    </row>
    <row r="1743" spans="6:11" ht="24" customHeight="1">
      <c r="K1743" s="35" t="s">
        <v>48</v>
      </c>
    </row>
    <row r="1744" spans="6:11" ht="24" customHeight="1">
      <c r="H1744" s="27" t="s">
        <v>1811</v>
      </c>
      <c r="K1744" s="40">
        <f>SUM(K1738:K1742)</f>
        <v>3054.51</v>
      </c>
    </row>
    <row r="1745" spans="6:11" ht="24" customHeight="1">
      <c r="K1745" s="35" t="s">
        <v>48</v>
      </c>
    </row>
    <row r="1746" spans="6:11" ht="24" customHeight="1">
      <c r="H1746" s="27" t="s">
        <v>1812</v>
      </c>
      <c r="K1746" s="39">
        <f>K1744/9</f>
        <v>339.39000000000004</v>
      </c>
    </row>
    <row r="1747" spans="6:11" ht="24" customHeight="1">
      <c r="K1747" s="35" t="s">
        <v>41</v>
      </c>
    </row>
    <row r="1748" spans="6:11" ht="24" customHeight="1">
      <c r="F1748" s="27" t="s">
        <v>1813</v>
      </c>
      <c r="H1748" s="26" t="s">
        <v>1814</v>
      </c>
    </row>
    <row r="1749" spans="6:11" ht="24" customHeight="1">
      <c r="H1749" s="35" t="s">
        <v>48</v>
      </c>
    </row>
    <row r="1750" spans="6:11" ht="24" customHeight="1">
      <c r="F1750" s="40">
        <v>4.32</v>
      </c>
      <c r="G1750" s="38" t="s">
        <v>93</v>
      </c>
      <c r="H1750" s="26" t="s">
        <v>1815</v>
      </c>
      <c r="I1750" s="40">
        <f>C61</f>
        <v>117.6</v>
      </c>
      <c r="J1750" s="26" t="s">
        <v>93</v>
      </c>
      <c r="K1750" s="40">
        <f t="shared" ref="K1750:K1757" si="209">(F1750*I1750)</f>
        <v>508.03199999999998</v>
      </c>
    </row>
    <row r="1751" spans="6:11" ht="24" customHeight="1">
      <c r="F1751" s="40">
        <v>1.44</v>
      </c>
      <c r="G1751" s="38" t="s">
        <v>93</v>
      </c>
      <c r="H1751" s="26" t="s">
        <v>1816</v>
      </c>
      <c r="I1751" s="150">
        <v>69.099999999999994</v>
      </c>
      <c r="J1751" s="26" t="s">
        <v>93</v>
      </c>
      <c r="K1751" s="40">
        <f t="shared" si="209"/>
        <v>99.503999999999991</v>
      </c>
    </row>
    <row r="1752" spans="6:11" ht="24" customHeight="1">
      <c r="F1752" s="40">
        <v>1.44</v>
      </c>
      <c r="G1752" s="38" t="s">
        <v>93</v>
      </c>
      <c r="H1752" s="26" t="s">
        <v>1817</v>
      </c>
      <c r="I1752" s="40">
        <f>C35</f>
        <v>210</v>
      </c>
      <c r="J1752" s="26" t="s">
        <v>93</v>
      </c>
      <c r="K1752" s="40">
        <f t="shared" si="209"/>
        <v>302.39999999999998</v>
      </c>
    </row>
    <row r="1753" spans="6:11" ht="24" customHeight="1">
      <c r="F1753" s="40">
        <v>1.44</v>
      </c>
      <c r="G1753" s="38" t="s">
        <v>93</v>
      </c>
      <c r="H1753" s="26" t="s">
        <v>1818</v>
      </c>
      <c r="I1753" s="40">
        <f>C78</f>
        <v>2765.84</v>
      </c>
      <c r="J1753" s="26" t="s">
        <v>93</v>
      </c>
      <c r="K1753" s="40">
        <f t="shared" si="209"/>
        <v>3982.8096</v>
      </c>
    </row>
    <row r="1754" spans="6:11" ht="24" customHeight="1">
      <c r="F1754" s="40">
        <v>2.88</v>
      </c>
      <c r="G1754" s="38" t="s">
        <v>93</v>
      </c>
      <c r="H1754" s="26" t="s">
        <v>1819</v>
      </c>
      <c r="I1754" s="133">
        <v>10</v>
      </c>
      <c r="J1754" s="26" t="s">
        <v>93</v>
      </c>
      <c r="K1754" s="40">
        <f t="shared" si="209"/>
        <v>28.799999999999997</v>
      </c>
    </row>
    <row r="1755" spans="6:11" ht="24" customHeight="1">
      <c r="F1755" s="40">
        <v>20</v>
      </c>
      <c r="G1755" s="38" t="s">
        <v>1820</v>
      </c>
      <c r="H1755" s="26" t="s">
        <v>1821</v>
      </c>
      <c r="I1755" s="150">
        <v>46.1</v>
      </c>
      <c r="J1755" s="26" t="s">
        <v>1820</v>
      </c>
      <c r="K1755" s="40">
        <f t="shared" si="209"/>
        <v>922</v>
      </c>
    </row>
    <row r="1756" spans="6:11" ht="24" customHeight="1">
      <c r="F1756" s="40">
        <v>42</v>
      </c>
      <c r="G1756" s="38" t="s">
        <v>1822</v>
      </c>
      <c r="H1756" s="26" t="s">
        <v>1823</v>
      </c>
      <c r="I1756" s="47">
        <v>17.5</v>
      </c>
      <c r="J1756" s="26" t="s">
        <v>1822</v>
      </c>
      <c r="K1756" s="40">
        <f t="shared" si="209"/>
        <v>735</v>
      </c>
    </row>
    <row r="1757" spans="6:11" ht="24" customHeight="1">
      <c r="F1757" s="40">
        <v>4.32</v>
      </c>
      <c r="G1757" s="38" t="s">
        <v>93</v>
      </c>
      <c r="H1757" s="26" t="s">
        <v>1824</v>
      </c>
      <c r="I1757" s="40">
        <f>C26</f>
        <v>41.019999999999996</v>
      </c>
      <c r="J1757" s="26" t="s">
        <v>93</v>
      </c>
      <c r="K1757" s="40">
        <f t="shared" si="209"/>
        <v>177.2064</v>
      </c>
    </row>
    <row r="1758" spans="6:11" ht="24" customHeight="1">
      <c r="F1758" s="27" t="s">
        <v>1825</v>
      </c>
      <c r="H1758" s="26" t="s">
        <v>1826</v>
      </c>
      <c r="K1758" s="40">
        <v>2000</v>
      </c>
    </row>
    <row r="1759" spans="6:11" ht="24" customHeight="1">
      <c r="K1759" s="35" t="s">
        <v>48</v>
      </c>
    </row>
    <row r="1760" spans="6:11" ht="24" customHeight="1">
      <c r="H1760" s="26" t="s">
        <v>1827</v>
      </c>
      <c r="K1760" s="40">
        <f>SUM(K1750:K1758)</f>
        <v>8755.7520000000004</v>
      </c>
    </row>
    <row r="1761" spans="6:12" ht="24" customHeight="1">
      <c r="K1761" s="35" t="s">
        <v>48</v>
      </c>
    </row>
    <row r="1762" spans="6:12" ht="24" customHeight="1">
      <c r="H1762" s="26" t="s">
        <v>1828</v>
      </c>
      <c r="K1762" s="39">
        <f>K1760/20</f>
        <v>437.7876</v>
      </c>
    </row>
    <row r="1763" spans="6:12" ht="24" customHeight="1">
      <c r="K1763" s="35" t="s">
        <v>41</v>
      </c>
    </row>
    <row r="1765" spans="6:12" ht="24" customHeight="1">
      <c r="F1765" s="27" t="s">
        <v>1829</v>
      </c>
      <c r="H1765" s="26" t="s">
        <v>1830</v>
      </c>
    </row>
    <row r="1766" spans="6:12" ht="24" customHeight="1">
      <c r="H1766" s="35" t="s">
        <v>48</v>
      </c>
    </row>
    <row r="1767" spans="6:12" ht="24" customHeight="1">
      <c r="F1767" s="40">
        <v>0.1</v>
      </c>
      <c r="G1767" s="38" t="s">
        <v>93</v>
      </c>
      <c r="H1767" s="26" t="s">
        <v>1815</v>
      </c>
      <c r="I1767" s="40">
        <f>K90</f>
        <v>235.2</v>
      </c>
      <c r="J1767" s="26" t="s">
        <v>93</v>
      </c>
      <c r="K1767" s="40">
        <f t="shared" ref="K1767:K1772" si="210">(F1767*I1767)</f>
        <v>23.52</v>
      </c>
    </row>
    <row r="1768" spans="6:12" ht="24" customHeight="1">
      <c r="F1768" s="40">
        <v>6.3</v>
      </c>
      <c r="G1768" s="38" t="s">
        <v>1822</v>
      </c>
      <c r="H1768" s="26" t="s">
        <v>1831</v>
      </c>
      <c r="I1768" s="47">
        <v>34.6</v>
      </c>
      <c r="J1768" s="26" t="s">
        <v>1822</v>
      </c>
      <c r="K1768" s="40">
        <f t="shared" si="210"/>
        <v>217.98</v>
      </c>
    </row>
    <row r="1769" spans="6:12" ht="24" customHeight="1">
      <c r="F1769" s="40">
        <v>6.3</v>
      </c>
      <c r="G1769" s="38" t="s">
        <v>1822</v>
      </c>
      <c r="H1769" s="26" t="s">
        <v>1832</v>
      </c>
      <c r="I1769" s="48">
        <f>I1756</f>
        <v>17.5</v>
      </c>
      <c r="J1769" s="26" t="s">
        <v>1822</v>
      </c>
      <c r="K1769" s="40">
        <f t="shared" si="210"/>
        <v>110.25</v>
      </c>
    </row>
    <row r="1770" spans="6:12" ht="24" customHeight="1">
      <c r="F1770" s="40">
        <v>3.15</v>
      </c>
      <c r="G1770" s="38" t="s">
        <v>480</v>
      </c>
      <c r="H1770" s="26" t="s">
        <v>1833</v>
      </c>
      <c r="I1770" s="40">
        <f>C198</f>
        <v>31.65</v>
      </c>
      <c r="J1770" s="26" t="s">
        <v>480</v>
      </c>
      <c r="K1770" s="40">
        <f t="shared" si="210"/>
        <v>99.697499999999991</v>
      </c>
      <c r="L1770" s="28" t="s">
        <v>1447</v>
      </c>
    </row>
    <row r="1771" spans="6:12" ht="24" customHeight="1">
      <c r="F1771" s="40">
        <v>0.25</v>
      </c>
      <c r="G1771" s="38" t="s">
        <v>1772</v>
      </c>
      <c r="H1771" s="26" t="s">
        <v>1834</v>
      </c>
      <c r="I1771" s="40">
        <f>D16</f>
        <v>1005.1999999999999</v>
      </c>
      <c r="J1771" s="26" t="s">
        <v>1772</v>
      </c>
      <c r="K1771" s="40">
        <f t="shared" si="210"/>
        <v>251.29999999999998</v>
      </c>
    </row>
    <row r="1772" spans="6:12" ht="24" customHeight="1">
      <c r="F1772" s="40">
        <v>0.2</v>
      </c>
      <c r="G1772" s="38" t="s">
        <v>1772</v>
      </c>
      <c r="H1772" s="26" t="s">
        <v>1835</v>
      </c>
      <c r="I1772" s="40">
        <f>AG38</f>
        <v>933.8</v>
      </c>
      <c r="J1772" s="26" t="s">
        <v>1772</v>
      </c>
      <c r="K1772" s="40">
        <f t="shared" si="210"/>
        <v>186.76</v>
      </c>
    </row>
    <row r="1773" spans="6:12" ht="24" customHeight="1">
      <c r="H1773" s="26" t="s">
        <v>1836</v>
      </c>
      <c r="I1773" s="26" t="s">
        <v>27</v>
      </c>
      <c r="J1773" s="26" t="s">
        <v>27</v>
      </c>
      <c r="K1773" s="40">
        <v>0</v>
      </c>
    </row>
    <row r="1774" spans="6:12" ht="24" customHeight="1">
      <c r="J1774" s="26" t="s">
        <v>27</v>
      </c>
      <c r="K1774" s="35" t="s">
        <v>48</v>
      </c>
    </row>
    <row r="1775" spans="6:12" ht="24" customHeight="1">
      <c r="F1775" s="26" t="s">
        <v>27</v>
      </c>
      <c r="G1775" s="38" t="s">
        <v>27</v>
      </c>
      <c r="H1775" s="26" t="s">
        <v>1828</v>
      </c>
      <c r="K1775" s="39">
        <f>SUM(K1767:K1774)</f>
        <v>889.50749999999994</v>
      </c>
    </row>
    <row r="1776" spans="6:12" ht="24" customHeight="1">
      <c r="H1776" s="26" t="s">
        <v>27</v>
      </c>
      <c r="K1776" s="35" t="s">
        <v>48</v>
      </c>
    </row>
    <row r="1777" spans="6:11" ht="24" customHeight="1">
      <c r="K1777" s="35"/>
    </row>
    <row r="1778" spans="6:11" ht="24" customHeight="1">
      <c r="F1778" s="27" t="s">
        <v>1837</v>
      </c>
      <c r="H1778" s="26" t="s">
        <v>1838</v>
      </c>
    </row>
    <row r="1779" spans="6:11" ht="24" customHeight="1">
      <c r="H1779" s="35" t="s">
        <v>48</v>
      </c>
    </row>
    <row r="1780" spans="6:11" ht="24" customHeight="1">
      <c r="F1780" s="107">
        <v>0.48599999999999999</v>
      </c>
      <c r="G1780" s="38" t="s">
        <v>475</v>
      </c>
      <c r="H1780" s="26" t="s">
        <v>1815</v>
      </c>
      <c r="I1780" s="40">
        <f>C61</f>
        <v>117.6</v>
      </c>
      <c r="J1780" s="26" t="s">
        <v>475</v>
      </c>
      <c r="K1780" s="40">
        <f t="shared" ref="K1780:K1786" si="211">(F1780*I1780)</f>
        <v>57.153599999999997</v>
      </c>
    </row>
    <row r="1781" spans="6:11" ht="24" customHeight="1">
      <c r="F1781" s="107">
        <v>0.48599999999999999</v>
      </c>
      <c r="G1781" s="38" t="s">
        <v>475</v>
      </c>
      <c r="H1781" s="26" t="s">
        <v>1839</v>
      </c>
      <c r="I1781" s="40">
        <f>K204</f>
        <v>6566.1180000000004</v>
      </c>
      <c r="J1781" s="26" t="s">
        <v>475</v>
      </c>
      <c r="K1781" s="40">
        <f t="shared" si="211"/>
        <v>3191.1333480000003</v>
      </c>
    </row>
    <row r="1782" spans="6:11" ht="24" customHeight="1">
      <c r="F1782" s="40">
        <v>81.75</v>
      </c>
      <c r="G1782" s="38" t="s">
        <v>1840</v>
      </c>
      <c r="H1782" s="26" t="s">
        <v>1841</v>
      </c>
      <c r="I1782" s="40">
        <f>I745</f>
        <v>41.2</v>
      </c>
      <c r="J1782" s="26" t="s">
        <v>1840</v>
      </c>
      <c r="K1782" s="40">
        <f t="shared" si="211"/>
        <v>3368.1000000000004</v>
      </c>
    </row>
    <row r="1783" spans="6:11" ht="24" customHeight="1">
      <c r="F1783" s="40">
        <v>7.2</v>
      </c>
      <c r="G1783" s="38" t="s">
        <v>1840</v>
      </c>
      <c r="H1783" s="26" t="s">
        <v>1842</v>
      </c>
      <c r="I1783" s="40">
        <f>I745</f>
        <v>41.2</v>
      </c>
      <c r="J1783" s="26" t="s">
        <v>1840</v>
      </c>
      <c r="K1783" s="40">
        <f t="shared" si="211"/>
        <v>296.64000000000004</v>
      </c>
    </row>
    <row r="1784" spans="6:11" ht="24" customHeight="1">
      <c r="F1784" s="40">
        <v>43.68</v>
      </c>
      <c r="G1784" s="38" t="s">
        <v>1840</v>
      </c>
      <c r="H1784" s="26" t="s">
        <v>1843</v>
      </c>
      <c r="I1784" s="40">
        <f>I743</f>
        <v>41.2</v>
      </c>
      <c r="J1784" s="26" t="s">
        <v>1840</v>
      </c>
      <c r="K1784" s="40">
        <f t="shared" si="211"/>
        <v>1799.6160000000002</v>
      </c>
    </row>
    <row r="1785" spans="6:11" ht="24" customHeight="1">
      <c r="F1785" s="40">
        <v>132.63</v>
      </c>
      <c r="G1785" s="38" t="s">
        <v>1840</v>
      </c>
      <c r="H1785" s="26" t="s">
        <v>1844</v>
      </c>
      <c r="I1785" s="40">
        <f>C37</f>
        <v>41.6</v>
      </c>
      <c r="J1785" s="26" t="s">
        <v>1840</v>
      </c>
      <c r="K1785" s="40">
        <f t="shared" si="211"/>
        <v>5517.4080000000004</v>
      </c>
    </row>
    <row r="1786" spans="6:11" ht="24" customHeight="1">
      <c r="F1786" s="40">
        <v>2.2000000000000002</v>
      </c>
      <c r="G1786" s="38" t="s">
        <v>480</v>
      </c>
      <c r="H1786" s="26" t="s">
        <v>1845</v>
      </c>
      <c r="I1786" s="133">
        <v>970</v>
      </c>
      <c r="J1786" s="26" t="s">
        <v>480</v>
      </c>
      <c r="K1786" s="40">
        <f t="shared" si="211"/>
        <v>2134</v>
      </c>
    </row>
    <row r="1787" spans="6:11" ht="24" customHeight="1">
      <c r="F1787" s="138" t="s">
        <v>363</v>
      </c>
      <c r="H1787" s="26" t="s">
        <v>1846</v>
      </c>
      <c r="I1787" s="138" t="s">
        <v>363</v>
      </c>
      <c r="K1787" s="40">
        <v>250</v>
      </c>
    </row>
    <row r="1788" spans="6:11" ht="24" customHeight="1">
      <c r="F1788" s="138" t="s">
        <v>363</v>
      </c>
      <c r="H1788" s="26" t="s">
        <v>1847</v>
      </c>
      <c r="I1788" s="138" t="s">
        <v>363</v>
      </c>
      <c r="K1788" s="40">
        <v>20.47</v>
      </c>
    </row>
    <row r="1789" spans="6:11" ht="24" customHeight="1">
      <c r="K1789" s="35" t="s">
        <v>48</v>
      </c>
    </row>
    <row r="1790" spans="6:11" ht="24" customHeight="1">
      <c r="K1790" s="40">
        <f>SUM(K1780:K1789)</f>
        <v>16634.520948000005</v>
      </c>
    </row>
    <row r="1791" spans="6:11" ht="24" customHeight="1">
      <c r="K1791" s="35" t="s">
        <v>48</v>
      </c>
    </row>
    <row r="1792" spans="6:11" ht="24" customHeight="1">
      <c r="K1792" s="35"/>
    </row>
    <row r="1793" spans="6:11" ht="24" customHeight="1">
      <c r="F1793" s="64">
        <v>86</v>
      </c>
      <c r="H1793" s="26" t="s">
        <v>1848</v>
      </c>
      <c r="K1793" s="73">
        <f>C806</f>
        <v>33.9</v>
      </c>
    </row>
    <row r="1794" spans="6:11" ht="24" customHeight="1">
      <c r="F1794" s="77"/>
      <c r="H1794" s="26"/>
      <c r="K1794" s="40"/>
    </row>
    <row r="1795" spans="6:11" ht="24" customHeight="1">
      <c r="F1795" s="27" t="s">
        <v>1849</v>
      </c>
      <c r="H1795" s="26" t="s">
        <v>1850</v>
      </c>
      <c r="K1795" s="130">
        <v>8.1999999999999993</v>
      </c>
    </row>
    <row r="1796" spans="6:11" ht="24" customHeight="1">
      <c r="H1796" s="26" t="s">
        <v>1851</v>
      </c>
      <c r="K1796" s="28">
        <f>700*K1795</f>
        <v>5739.9999999999991</v>
      </c>
    </row>
    <row r="1797" spans="6:11" ht="24" customHeight="1">
      <c r="F1797" s="26" t="s">
        <v>27</v>
      </c>
      <c r="H1797" s="26" t="s">
        <v>1852</v>
      </c>
      <c r="K1797" s="28">
        <f>200*K1795</f>
        <v>1639.9999999999998</v>
      </c>
    </row>
    <row r="1798" spans="6:11" ht="24" customHeight="1">
      <c r="F1798" s="77"/>
      <c r="G1798" s="38" t="s">
        <v>67</v>
      </c>
      <c r="H1798" s="26" t="s">
        <v>641</v>
      </c>
    </row>
    <row r="1799" spans="6:11" ht="24" customHeight="1">
      <c r="H1799" s="26" t="s">
        <v>1853</v>
      </c>
    </row>
    <row r="1800" spans="6:11" ht="24" customHeight="1">
      <c r="H1800" s="26" t="s">
        <v>709</v>
      </c>
    </row>
    <row r="1801" spans="6:11" ht="24" customHeight="1">
      <c r="H1801" s="35" t="s">
        <v>48</v>
      </c>
    </row>
    <row r="1802" spans="6:11" ht="24" customHeight="1">
      <c r="G1802" s="38" t="s">
        <v>1854</v>
      </c>
      <c r="H1802" s="26" t="s">
        <v>709</v>
      </c>
      <c r="K1802" s="26" t="s">
        <v>1855</v>
      </c>
    </row>
    <row r="1803" spans="6:11" ht="24" customHeight="1">
      <c r="H1803" s="35" t="s">
        <v>48</v>
      </c>
      <c r="K1803" s="35" t="s">
        <v>41</v>
      </c>
    </row>
    <row r="1804" spans="6:11" ht="24" customHeight="1">
      <c r="F1804" s="40">
        <v>30</v>
      </c>
      <c r="G1804" s="38" t="s">
        <v>244</v>
      </c>
      <c r="H1804" s="26" t="s">
        <v>715</v>
      </c>
      <c r="I1804" s="40">
        <f>(C661)</f>
        <v>8.1</v>
      </c>
      <c r="J1804" s="26" t="s">
        <v>244</v>
      </c>
      <c r="K1804" s="40">
        <f>(F1804*I1804)</f>
        <v>243</v>
      </c>
    </row>
    <row r="1805" spans="6:11" ht="24" customHeight="1">
      <c r="F1805" s="26" t="s">
        <v>27</v>
      </c>
      <c r="H1805" s="26" t="s">
        <v>718</v>
      </c>
      <c r="I1805" s="26" t="s">
        <v>27</v>
      </c>
      <c r="K1805" s="26" t="s">
        <v>27</v>
      </c>
    </row>
    <row r="1806" spans="6:11" ht="24" customHeight="1">
      <c r="F1806" s="40">
        <v>8</v>
      </c>
      <c r="G1806" s="38" t="s">
        <v>105</v>
      </c>
      <c r="H1806" s="26" t="s">
        <v>657</v>
      </c>
      <c r="I1806" s="40">
        <f>(C663)</f>
        <v>7.1</v>
      </c>
      <c r="J1806" s="26" t="s">
        <v>105</v>
      </c>
      <c r="K1806" s="40">
        <f t="shared" ref="K1806:K1812" si="212">(F1806*I1806)</f>
        <v>56.8</v>
      </c>
    </row>
    <row r="1807" spans="6:11" ht="24" customHeight="1">
      <c r="F1807" s="40">
        <v>8</v>
      </c>
      <c r="G1807" s="38" t="s">
        <v>105</v>
      </c>
      <c r="H1807" s="26" t="s">
        <v>660</v>
      </c>
      <c r="I1807" s="40">
        <f>(C672)</f>
        <v>10.199999999999999</v>
      </c>
      <c r="J1807" s="26" t="s">
        <v>105</v>
      </c>
      <c r="K1807" s="40">
        <f t="shared" si="212"/>
        <v>81.599999999999994</v>
      </c>
    </row>
    <row r="1808" spans="6:11" ht="24" customHeight="1">
      <c r="F1808" s="40">
        <v>3</v>
      </c>
      <c r="G1808" s="38" t="s">
        <v>105</v>
      </c>
      <c r="H1808" s="26" t="s">
        <v>723</v>
      </c>
      <c r="I1808" s="40">
        <f>(C41)</f>
        <v>796.59999999999991</v>
      </c>
      <c r="J1808" s="26" t="s">
        <v>105</v>
      </c>
      <c r="K1808" s="40">
        <f t="shared" si="212"/>
        <v>2389.7999999999997</v>
      </c>
    </row>
    <row r="1809" spans="6:11" ht="24" customHeight="1">
      <c r="F1809" s="40">
        <v>1</v>
      </c>
      <c r="G1809" s="38" t="s">
        <v>105</v>
      </c>
      <c r="H1809" s="26" t="s">
        <v>1856</v>
      </c>
      <c r="I1809" s="40">
        <f>(C10)</f>
        <v>1076.5999999999999</v>
      </c>
      <c r="J1809" s="26" t="s">
        <v>105</v>
      </c>
      <c r="K1809" s="40">
        <f t="shared" si="212"/>
        <v>1076.5999999999999</v>
      </c>
    </row>
    <row r="1810" spans="6:11" ht="24" customHeight="1">
      <c r="F1810" s="40">
        <v>2</v>
      </c>
      <c r="G1810" s="38" t="s">
        <v>105</v>
      </c>
      <c r="H1810" s="26" t="s">
        <v>271</v>
      </c>
      <c r="I1810" s="40">
        <f>(C12)</f>
        <v>702.8</v>
      </c>
      <c r="J1810" s="26" t="s">
        <v>105</v>
      </c>
      <c r="K1810" s="40">
        <f t="shared" si="212"/>
        <v>1405.6</v>
      </c>
    </row>
    <row r="1811" spans="6:11" ht="24" customHeight="1">
      <c r="F1811" s="40">
        <v>1</v>
      </c>
      <c r="G1811" s="38" t="s">
        <v>105</v>
      </c>
      <c r="H1811" s="26" t="s">
        <v>276</v>
      </c>
      <c r="I1811" s="40">
        <f>(C13)</f>
        <v>576.79999999999995</v>
      </c>
      <c r="J1811" s="26" t="s">
        <v>105</v>
      </c>
      <c r="K1811" s="40">
        <f t="shared" si="212"/>
        <v>576.79999999999995</v>
      </c>
    </row>
    <row r="1812" spans="6:11" ht="24" customHeight="1">
      <c r="F1812" s="40">
        <v>1</v>
      </c>
      <c r="G1812" s="38" t="s">
        <v>105</v>
      </c>
      <c r="H1812" s="26" t="s">
        <v>1857</v>
      </c>
      <c r="I1812" s="26">
        <v>5</v>
      </c>
      <c r="J1812" s="26" t="s">
        <v>793</v>
      </c>
      <c r="K1812" s="40">
        <f t="shared" si="212"/>
        <v>5</v>
      </c>
    </row>
    <row r="1813" spans="6:11" ht="24" customHeight="1">
      <c r="H1813" s="26" t="s">
        <v>1858</v>
      </c>
      <c r="I1813" s="26" t="s">
        <v>27</v>
      </c>
      <c r="K1813" s="26" t="s">
        <v>27</v>
      </c>
    </row>
    <row r="1814" spans="6:11" ht="24" customHeight="1">
      <c r="G1814" s="38" t="s">
        <v>106</v>
      </c>
      <c r="H1814" s="26" t="s">
        <v>107</v>
      </c>
      <c r="J1814" s="26" t="s">
        <v>106</v>
      </c>
      <c r="K1814" s="40">
        <v>0</v>
      </c>
    </row>
    <row r="1815" spans="6:11" ht="24" customHeight="1">
      <c r="K1815" s="35" t="s">
        <v>48</v>
      </c>
    </row>
    <row r="1816" spans="6:11" ht="24" customHeight="1">
      <c r="H1816" s="26" t="s">
        <v>729</v>
      </c>
      <c r="K1816" s="40">
        <f>SUM(K1804:K1814)</f>
        <v>5835.2</v>
      </c>
    </row>
    <row r="1817" spans="6:11" ht="24" customHeight="1">
      <c r="K1817" s="35" t="s">
        <v>48</v>
      </c>
    </row>
    <row r="1818" spans="6:11" ht="24" customHeight="1">
      <c r="H1818" s="26" t="s">
        <v>665</v>
      </c>
      <c r="K1818" s="40">
        <f>(K1816/30)</f>
        <v>194.50666666666666</v>
      </c>
    </row>
    <row r="1819" spans="6:11" ht="24" customHeight="1">
      <c r="K1819" s="35" t="s">
        <v>48</v>
      </c>
    </row>
    <row r="1820" spans="6:11" ht="24" customHeight="1">
      <c r="G1820" s="38" t="s">
        <v>1064</v>
      </c>
      <c r="H1820" s="26" t="s">
        <v>709</v>
      </c>
      <c r="K1820" s="26" t="s">
        <v>1859</v>
      </c>
    </row>
    <row r="1821" spans="6:11" ht="24" customHeight="1">
      <c r="H1821" s="35" t="s">
        <v>48</v>
      </c>
      <c r="K1821" s="35" t="s">
        <v>41</v>
      </c>
    </row>
    <row r="1822" spans="6:11" ht="24" customHeight="1">
      <c r="F1822" s="40">
        <v>30</v>
      </c>
      <c r="G1822" s="38" t="s">
        <v>244</v>
      </c>
      <c r="H1822" s="26" t="s">
        <v>715</v>
      </c>
      <c r="I1822" s="40">
        <f>(C661)</f>
        <v>8.1</v>
      </c>
      <c r="J1822" s="26" t="s">
        <v>244</v>
      </c>
      <c r="K1822" s="40">
        <f>(F1822*I1822)</f>
        <v>243</v>
      </c>
    </row>
    <row r="1823" spans="6:11" ht="24" customHeight="1">
      <c r="F1823" s="26" t="s">
        <v>27</v>
      </c>
      <c r="H1823" s="26" t="s">
        <v>718</v>
      </c>
      <c r="I1823" s="26" t="s">
        <v>27</v>
      </c>
      <c r="K1823" s="26" t="s">
        <v>27</v>
      </c>
    </row>
    <row r="1824" spans="6:11" ht="24" customHeight="1">
      <c r="F1824" s="40">
        <v>8</v>
      </c>
      <c r="G1824" s="38" t="s">
        <v>105</v>
      </c>
      <c r="H1824" s="26" t="s">
        <v>657</v>
      </c>
      <c r="I1824" s="40">
        <f>(C663)</f>
        <v>7.1</v>
      </c>
      <c r="J1824" s="26" t="s">
        <v>105</v>
      </c>
      <c r="K1824" s="40">
        <f t="shared" ref="K1824:K1830" si="213">(F1824*I1824)</f>
        <v>56.8</v>
      </c>
    </row>
    <row r="1825" spans="6:11" ht="24" customHeight="1">
      <c r="F1825" s="40">
        <v>8</v>
      </c>
      <c r="G1825" s="38" t="s">
        <v>105</v>
      </c>
      <c r="H1825" s="26" t="s">
        <v>660</v>
      </c>
      <c r="I1825" s="40">
        <f>D672</f>
        <v>21.1</v>
      </c>
      <c r="J1825" s="26" t="s">
        <v>105</v>
      </c>
      <c r="K1825" s="40">
        <f t="shared" si="213"/>
        <v>168.8</v>
      </c>
    </row>
    <row r="1826" spans="6:11" ht="24" customHeight="1">
      <c r="F1826" s="40">
        <v>3</v>
      </c>
      <c r="G1826" s="38" t="s">
        <v>105</v>
      </c>
      <c r="H1826" s="26" t="s">
        <v>723</v>
      </c>
      <c r="I1826" s="40">
        <f>(C41)</f>
        <v>796.59999999999991</v>
      </c>
      <c r="J1826" s="26" t="s">
        <v>105</v>
      </c>
      <c r="K1826" s="40">
        <f t="shared" si="213"/>
        <v>2389.7999999999997</v>
      </c>
    </row>
    <row r="1827" spans="6:11" ht="24" customHeight="1">
      <c r="F1827" s="40">
        <v>1</v>
      </c>
      <c r="G1827" s="38" t="s">
        <v>105</v>
      </c>
      <c r="H1827" s="26" t="s">
        <v>1856</v>
      </c>
      <c r="I1827" s="40">
        <f>(C10)</f>
        <v>1076.5999999999999</v>
      </c>
      <c r="J1827" s="26" t="s">
        <v>105</v>
      </c>
      <c r="K1827" s="40">
        <f t="shared" si="213"/>
        <v>1076.5999999999999</v>
      </c>
    </row>
    <row r="1828" spans="6:11" ht="24" customHeight="1">
      <c r="F1828" s="40">
        <v>2</v>
      </c>
      <c r="G1828" s="38" t="s">
        <v>105</v>
      </c>
      <c r="H1828" s="26" t="s">
        <v>271</v>
      </c>
      <c r="I1828" s="40">
        <f>(C12)</f>
        <v>702.8</v>
      </c>
      <c r="J1828" s="26" t="s">
        <v>105</v>
      </c>
      <c r="K1828" s="40">
        <f t="shared" si="213"/>
        <v>1405.6</v>
      </c>
    </row>
    <row r="1829" spans="6:11" ht="24" customHeight="1">
      <c r="F1829" s="40">
        <v>1</v>
      </c>
      <c r="G1829" s="38" t="s">
        <v>105</v>
      </c>
      <c r="H1829" s="26" t="s">
        <v>276</v>
      </c>
      <c r="I1829" s="40">
        <f>(C13)</f>
        <v>576.79999999999995</v>
      </c>
      <c r="J1829" s="26" t="s">
        <v>105</v>
      </c>
      <c r="K1829" s="40">
        <f t="shared" si="213"/>
        <v>576.79999999999995</v>
      </c>
    </row>
    <row r="1830" spans="6:11" ht="24" customHeight="1">
      <c r="F1830" s="40">
        <v>1</v>
      </c>
      <c r="G1830" s="38" t="s">
        <v>105</v>
      </c>
      <c r="H1830" s="26" t="s">
        <v>1857</v>
      </c>
      <c r="I1830" s="26">
        <v>3</v>
      </c>
      <c r="J1830" s="26" t="s">
        <v>105</v>
      </c>
      <c r="K1830" s="40">
        <f t="shared" si="213"/>
        <v>3</v>
      </c>
    </row>
    <row r="1831" spans="6:11" ht="24" customHeight="1">
      <c r="H1831" s="26" t="s">
        <v>1858</v>
      </c>
      <c r="I1831" s="26" t="s">
        <v>27</v>
      </c>
      <c r="K1831" s="26" t="s">
        <v>27</v>
      </c>
    </row>
    <row r="1832" spans="6:11" ht="24" customHeight="1">
      <c r="G1832" s="38" t="s">
        <v>106</v>
      </c>
      <c r="H1832" s="26" t="s">
        <v>107</v>
      </c>
      <c r="J1832" s="26" t="s">
        <v>106</v>
      </c>
      <c r="K1832" s="40">
        <v>0</v>
      </c>
    </row>
    <row r="1833" spans="6:11" ht="24" customHeight="1">
      <c r="K1833" s="35" t="s">
        <v>48</v>
      </c>
    </row>
    <row r="1834" spans="6:11" ht="24" customHeight="1">
      <c r="H1834" s="26" t="s">
        <v>729</v>
      </c>
      <c r="K1834" s="40">
        <f>SUM(K1822:K1832)</f>
        <v>5920.4</v>
      </c>
    </row>
    <row r="1835" spans="6:11" ht="24" customHeight="1">
      <c r="K1835" s="35" t="s">
        <v>48</v>
      </c>
    </row>
    <row r="1836" spans="6:11" ht="24" customHeight="1">
      <c r="H1836" s="26" t="s">
        <v>665</v>
      </c>
      <c r="K1836" s="40">
        <f>(K1834/30)</f>
        <v>197.34666666666666</v>
      </c>
    </row>
    <row r="1837" spans="6:11" ht="24" customHeight="1">
      <c r="K1837" s="35" t="s">
        <v>48</v>
      </c>
    </row>
    <row r="1838" spans="6:11" ht="24" customHeight="1">
      <c r="G1838" s="38" t="s">
        <v>1035</v>
      </c>
      <c r="H1838" s="26" t="s">
        <v>709</v>
      </c>
      <c r="K1838" s="26" t="s">
        <v>1860</v>
      </c>
    </row>
    <row r="1839" spans="6:11" ht="24" customHeight="1">
      <c r="H1839" s="35" t="s">
        <v>48</v>
      </c>
      <c r="K1839" s="35" t="s">
        <v>41</v>
      </c>
    </row>
    <row r="1840" spans="6:11" ht="24" customHeight="1">
      <c r="F1840" s="40">
        <v>30</v>
      </c>
      <c r="G1840" s="38" t="s">
        <v>244</v>
      </c>
      <c r="H1840" s="26" t="s">
        <v>715</v>
      </c>
      <c r="I1840" s="40">
        <f>(C661)</f>
        <v>8.1</v>
      </c>
      <c r="J1840" s="26" t="s">
        <v>244</v>
      </c>
      <c r="K1840" s="40">
        <f>(F1840*I1840)</f>
        <v>243</v>
      </c>
    </row>
    <row r="1841" spans="6:18" ht="24" customHeight="1">
      <c r="F1841" s="26" t="s">
        <v>27</v>
      </c>
      <c r="H1841" s="26" t="s">
        <v>718</v>
      </c>
      <c r="I1841" s="26" t="s">
        <v>27</v>
      </c>
      <c r="K1841" s="26" t="s">
        <v>27</v>
      </c>
    </row>
    <row r="1842" spans="6:18" ht="24" customHeight="1">
      <c r="F1842" s="40">
        <v>8</v>
      </c>
      <c r="G1842" s="38" t="s">
        <v>105</v>
      </c>
      <c r="H1842" s="26" t="s">
        <v>657</v>
      </c>
      <c r="I1842" s="40">
        <f>D663</f>
        <v>8.5</v>
      </c>
      <c r="J1842" s="26" t="s">
        <v>105</v>
      </c>
      <c r="K1842" s="40">
        <f t="shared" ref="K1842:K1848" si="214">(F1842*I1842)</f>
        <v>68</v>
      </c>
    </row>
    <row r="1843" spans="6:18" ht="24" customHeight="1">
      <c r="F1843" s="40">
        <v>8</v>
      </c>
      <c r="G1843" s="38" t="s">
        <v>105</v>
      </c>
      <c r="H1843" s="26" t="s">
        <v>660</v>
      </c>
      <c r="I1843" s="40">
        <f>C677</f>
        <v>28.5</v>
      </c>
      <c r="J1843" s="26" t="s">
        <v>105</v>
      </c>
      <c r="K1843" s="40">
        <f t="shared" si="214"/>
        <v>228</v>
      </c>
    </row>
    <row r="1844" spans="6:18" ht="24" customHeight="1">
      <c r="F1844" s="40">
        <v>3</v>
      </c>
      <c r="G1844" s="38" t="s">
        <v>105</v>
      </c>
      <c r="H1844" s="26" t="s">
        <v>723</v>
      </c>
      <c r="I1844" s="40">
        <f>(C41)</f>
        <v>796.59999999999991</v>
      </c>
      <c r="J1844" s="26" t="s">
        <v>105</v>
      </c>
      <c r="K1844" s="40">
        <f t="shared" si="214"/>
        <v>2389.7999999999997</v>
      </c>
    </row>
    <row r="1845" spans="6:18" ht="24" customHeight="1">
      <c r="F1845" s="40">
        <v>1</v>
      </c>
      <c r="G1845" s="38" t="s">
        <v>105</v>
      </c>
      <c r="H1845" s="26" t="s">
        <v>1856</v>
      </c>
      <c r="I1845" s="40">
        <f>(C10)</f>
        <v>1076.5999999999999</v>
      </c>
      <c r="J1845" s="26" t="s">
        <v>105</v>
      </c>
      <c r="K1845" s="40">
        <f t="shared" si="214"/>
        <v>1076.5999999999999</v>
      </c>
    </row>
    <row r="1846" spans="6:18" ht="24" customHeight="1">
      <c r="F1846" s="40">
        <v>2</v>
      </c>
      <c r="G1846" s="38" t="s">
        <v>105</v>
      </c>
      <c r="H1846" s="26" t="s">
        <v>271</v>
      </c>
      <c r="I1846" s="40">
        <f>(C12)</f>
        <v>702.8</v>
      </c>
      <c r="J1846" s="26" t="s">
        <v>105</v>
      </c>
      <c r="K1846" s="40">
        <f t="shared" si="214"/>
        <v>1405.6</v>
      </c>
    </row>
    <row r="1847" spans="6:18" ht="24" customHeight="1">
      <c r="F1847" s="40">
        <v>1</v>
      </c>
      <c r="G1847" s="38" t="s">
        <v>105</v>
      </c>
      <c r="H1847" s="26" t="s">
        <v>276</v>
      </c>
      <c r="I1847" s="40">
        <f>(C13)</f>
        <v>576.79999999999995</v>
      </c>
      <c r="J1847" s="26" t="s">
        <v>105</v>
      </c>
      <c r="K1847" s="40">
        <f t="shared" si="214"/>
        <v>576.79999999999995</v>
      </c>
    </row>
    <row r="1848" spans="6:18" ht="24" customHeight="1">
      <c r="F1848" s="40">
        <v>1</v>
      </c>
      <c r="G1848" s="38" t="s">
        <v>105</v>
      </c>
      <c r="H1848" s="26" t="s">
        <v>1857</v>
      </c>
      <c r="I1848" s="26">
        <v>5.26</v>
      </c>
      <c r="J1848" s="26" t="s">
        <v>105</v>
      </c>
      <c r="K1848" s="40">
        <f t="shared" si="214"/>
        <v>5.26</v>
      </c>
    </row>
    <row r="1849" spans="6:18" ht="24" customHeight="1">
      <c r="H1849" s="26" t="s">
        <v>1858</v>
      </c>
      <c r="I1849" s="26" t="s">
        <v>27</v>
      </c>
      <c r="K1849" s="26" t="s">
        <v>27</v>
      </c>
    </row>
    <row r="1850" spans="6:18" ht="24" customHeight="1">
      <c r="G1850" s="38" t="s">
        <v>106</v>
      </c>
      <c r="H1850" s="26" t="s">
        <v>107</v>
      </c>
      <c r="J1850" s="26" t="s">
        <v>106</v>
      </c>
      <c r="K1850" s="40">
        <v>0</v>
      </c>
    </row>
    <row r="1851" spans="6:18" ht="24" customHeight="1">
      <c r="K1851" s="35" t="s">
        <v>48</v>
      </c>
    </row>
    <row r="1852" spans="6:18" ht="24" customHeight="1">
      <c r="H1852" s="26" t="s">
        <v>729</v>
      </c>
      <c r="K1852" s="40">
        <f>SUM(K1840:K1850)</f>
        <v>5993.06</v>
      </c>
    </row>
    <row r="1853" spans="6:18" ht="24" customHeight="1">
      <c r="K1853" s="35" t="s">
        <v>48</v>
      </c>
    </row>
    <row r="1854" spans="6:18" ht="24" customHeight="1">
      <c r="H1854" s="26" t="s">
        <v>665</v>
      </c>
      <c r="K1854" s="40">
        <f>(K1852/30)</f>
        <v>199.76866666666669</v>
      </c>
      <c r="N1854" s="38" t="s">
        <v>1035</v>
      </c>
      <c r="O1854" s="26" t="s">
        <v>709</v>
      </c>
      <c r="Q1854" s="31"/>
      <c r="R1854" s="26" t="s">
        <v>1861</v>
      </c>
    </row>
    <row r="1855" spans="6:18" ht="24" customHeight="1">
      <c r="K1855" s="35" t="s">
        <v>48</v>
      </c>
      <c r="N1855" s="29"/>
      <c r="O1855" s="35" t="s">
        <v>48</v>
      </c>
      <c r="Q1855" s="31"/>
      <c r="R1855" s="35" t="s">
        <v>41</v>
      </c>
    </row>
    <row r="1856" spans="6:18" ht="24" customHeight="1">
      <c r="M1856" s="40">
        <v>30</v>
      </c>
      <c r="N1856" s="38" t="s">
        <v>244</v>
      </c>
      <c r="O1856" s="26" t="s">
        <v>715</v>
      </c>
      <c r="P1856" s="40">
        <f>I1840</f>
        <v>8.1</v>
      </c>
      <c r="Q1856" s="26" t="s">
        <v>244</v>
      </c>
      <c r="R1856" s="40">
        <f>(M1856*P1856)</f>
        <v>243</v>
      </c>
    </row>
    <row r="1857" spans="6:18" ht="24" customHeight="1">
      <c r="F1857" s="274">
        <v>52</v>
      </c>
      <c r="G1857" s="38" t="s">
        <v>67</v>
      </c>
      <c r="H1857" s="26" t="s">
        <v>1862</v>
      </c>
      <c r="M1857" s="26" t="s">
        <v>27</v>
      </c>
      <c r="N1857" s="29"/>
      <c r="O1857" s="26" t="s">
        <v>718</v>
      </c>
      <c r="P1857" s="40" t="str">
        <f t="shared" ref="P1857:P1866" si="215">I1841</f>
        <v/>
      </c>
      <c r="Q1857" s="31"/>
      <c r="R1857" s="26" t="s">
        <v>27</v>
      </c>
    </row>
    <row r="1858" spans="6:18" ht="24" customHeight="1">
      <c r="H1858" s="26" t="s">
        <v>1863</v>
      </c>
      <c r="M1858" s="40">
        <v>8</v>
      </c>
      <c r="N1858" s="38" t="s">
        <v>105</v>
      </c>
      <c r="O1858" s="96" t="s">
        <v>1864</v>
      </c>
      <c r="P1858" s="47">
        <v>10.199999999999999</v>
      </c>
      <c r="Q1858" s="26" t="s">
        <v>105</v>
      </c>
      <c r="R1858" s="40">
        <f t="shared" ref="R1858:R1863" si="216">(M1858*P1858)</f>
        <v>81.599999999999994</v>
      </c>
    </row>
    <row r="1859" spans="6:18" ht="24" customHeight="1">
      <c r="H1859" s="26" t="s">
        <v>1865</v>
      </c>
      <c r="M1859" s="40">
        <v>8</v>
      </c>
      <c r="N1859" s="38" t="s">
        <v>105</v>
      </c>
      <c r="O1859" s="96" t="s">
        <v>1866</v>
      </c>
      <c r="P1859" s="47">
        <v>28.5</v>
      </c>
      <c r="Q1859" s="26" t="s">
        <v>105</v>
      </c>
      <c r="R1859" s="40">
        <f t="shared" si="216"/>
        <v>228</v>
      </c>
    </row>
    <row r="1860" spans="6:18" ht="24" customHeight="1">
      <c r="H1860" s="26" t="s">
        <v>1867</v>
      </c>
      <c r="M1860" s="40">
        <v>3</v>
      </c>
      <c r="N1860" s="38" t="s">
        <v>105</v>
      </c>
      <c r="O1860" s="26" t="s">
        <v>723</v>
      </c>
      <c r="P1860" s="40">
        <f t="shared" si="215"/>
        <v>796.59999999999991</v>
      </c>
      <c r="Q1860" s="26" t="s">
        <v>105</v>
      </c>
      <c r="R1860" s="40">
        <f t="shared" si="216"/>
        <v>2389.7999999999997</v>
      </c>
    </row>
    <row r="1861" spans="6:18" ht="24" customHeight="1">
      <c r="H1861" s="26" t="s">
        <v>1868</v>
      </c>
      <c r="M1861" s="40">
        <v>1</v>
      </c>
      <c r="N1861" s="38" t="s">
        <v>105</v>
      </c>
      <c r="O1861" s="26" t="s">
        <v>1856</v>
      </c>
      <c r="P1861" s="40">
        <f t="shared" si="215"/>
        <v>1076.5999999999999</v>
      </c>
      <c r="Q1861" s="26" t="s">
        <v>105</v>
      </c>
      <c r="R1861" s="40">
        <f t="shared" si="216"/>
        <v>1076.5999999999999</v>
      </c>
    </row>
    <row r="1862" spans="6:18" ht="24" customHeight="1">
      <c r="H1862" s="26" t="s">
        <v>1869</v>
      </c>
      <c r="M1862" s="40">
        <v>2</v>
      </c>
      <c r="N1862" s="38" t="s">
        <v>105</v>
      </c>
      <c r="O1862" s="26" t="s">
        <v>271</v>
      </c>
      <c r="P1862" s="40">
        <f t="shared" si="215"/>
        <v>702.8</v>
      </c>
      <c r="Q1862" s="26" t="s">
        <v>105</v>
      </c>
      <c r="R1862" s="40">
        <f t="shared" si="216"/>
        <v>1405.6</v>
      </c>
    </row>
    <row r="1863" spans="6:18" ht="24" customHeight="1">
      <c r="H1863" s="26" t="s">
        <v>1870</v>
      </c>
      <c r="M1863" s="40">
        <v>1</v>
      </c>
      <c r="N1863" s="38" t="s">
        <v>105</v>
      </c>
      <c r="O1863" s="26" t="s">
        <v>276</v>
      </c>
      <c r="P1863" s="40">
        <f t="shared" si="215"/>
        <v>576.79999999999995</v>
      </c>
      <c r="Q1863" s="26" t="s">
        <v>105</v>
      </c>
      <c r="R1863" s="40">
        <f t="shared" si="216"/>
        <v>576.79999999999995</v>
      </c>
    </row>
    <row r="1864" spans="6:18" ht="24" customHeight="1">
      <c r="H1864" s="26" t="s">
        <v>1871</v>
      </c>
      <c r="N1864" s="38" t="s">
        <v>106</v>
      </c>
      <c r="O1864" s="26" t="s">
        <v>1857</v>
      </c>
      <c r="P1864" s="40">
        <f t="shared" si="215"/>
        <v>5.26</v>
      </c>
      <c r="Q1864" s="26" t="s">
        <v>106</v>
      </c>
      <c r="R1864" s="40">
        <v>5</v>
      </c>
    </row>
    <row r="1865" spans="6:18" ht="24" customHeight="1">
      <c r="H1865" s="35" t="s">
        <v>41</v>
      </c>
      <c r="I1865" s="35" t="s">
        <v>41</v>
      </c>
      <c r="N1865" s="29"/>
      <c r="O1865" s="26" t="s">
        <v>1858</v>
      </c>
      <c r="P1865" s="40" t="str">
        <f t="shared" si="215"/>
        <v/>
      </c>
      <c r="Q1865" s="31"/>
      <c r="R1865" s="26" t="s">
        <v>27</v>
      </c>
    </row>
    <row r="1866" spans="6:18" ht="24" customHeight="1">
      <c r="G1866" s="38" t="s">
        <v>67</v>
      </c>
      <c r="H1866" s="26" t="s">
        <v>1872</v>
      </c>
      <c r="N1866" s="38" t="s">
        <v>106</v>
      </c>
      <c r="O1866" s="26" t="s">
        <v>107</v>
      </c>
      <c r="P1866" s="40">
        <f t="shared" si="215"/>
        <v>0</v>
      </c>
      <c r="Q1866" s="26" t="s">
        <v>106</v>
      </c>
      <c r="R1866" s="40">
        <v>0</v>
      </c>
    </row>
    <row r="1867" spans="6:18" ht="24" customHeight="1">
      <c r="H1867" s="26" t="s">
        <v>1873</v>
      </c>
      <c r="N1867" s="29"/>
      <c r="Q1867" s="31"/>
      <c r="R1867" s="35" t="s">
        <v>48</v>
      </c>
    </row>
    <row r="1868" spans="6:18" ht="24" customHeight="1">
      <c r="G1868" s="38" t="s">
        <v>1098</v>
      </c>
      <c r="H1868" s="26" t="s">
        <v>1874</v>
      </c>
      <c r="N1868" s="29"/>
      <c r="O1868" s="26" t="s">
        <v>729</v>
      </c>
      <c r="Q1868" s="31"/>
      <c r="R1868" s="40">
        <f>SUM(R1856:R1866)</f>
        <v>6006.4</v>
      </c>
    </row>
    <row r="1869" spans="6:18" ht="24" customHeight="1">
      <c r="H1869" s="35" t="s">
        <v>48</v>
      </c>
      <c r="N1869" s="29"/>
      <c r="Q1869" s="31"/>
      <c r="R1869" s="35" t="s">
        <v>48</v>
      </c>
    </row>
    <row r="1870" spans="6:18" ht="24" customHeight="1">
      <c r="F1870" s="40">
        <v>1</v>
      </c>
      <c r="G1870" s="38" t="s">
        <v>1125</v>
      </c>
      <c r="H1870" s="26" t="s">
        <v>1875</v>
      </c>
      <c r="I1870" s="40">
        <f>C517</f>
        <v>26</v>
      </c>
      <c r="J1870" s="26" t="s">
        <v>1125</v>
      </c>
      <c r="K1870" s="40">
        <f>(F1870*I1870)</f>
        <v>26</v>
      </c>
      <c r="N1870" s="29"/>
      <c r="O1870" s="26" t="s">
        <v>665</v>
      </c>
      <c r="Q1870" s="31"/>
      <c r="R1870" s="40">
        <f>(R1868/30)</f>
        <v>200.21333333333331</v>
      </c>
    </row>
    <row r="1871" spans="6:18" ht="24" customHeight="1">
      <c r="F1871" s="40">
        <v>1</v>
      </c>
      <c r="G1871" s="38" t="s">
        <v>106</v>
      </c>
      <c r="H1871" s="26" t="s">
        <v>1876</v>
      </c>
      <c r="I1871" s="40">
        <f>I1870*0.7</f>
        <v>18.2</v>
      </c>
      <c r="J1871" s="26" t="s">
        <v>106</v>
      </c>
      <c r="K1871" s="40">
        <f>(F1871*I1871)</f>
        <v>18.2</v>
      </c>
      <c r="N1871" s="29"/>
      <c r="Q1871" s="31"/>
      <c r="R1871" s="35" t="s">
        <v>48</v>
      </c>
    </row>
    <row r="1872" spans="6:18" ht="24" customHeight="1">
      <c r="F1872" s="40">
        <v>1</v>
      </c>
      <c r="G1872" s="38" t="s">
        <v>1125</v>
      </c>
      <c r="H1872" s="26" t="s">
        <v>1877</v>
      </c>
      <c r="I1872" s="40">
        <f>K1818</f>
        <v>194.50666666666666</v>
      </c>
      <c r="J1872" s="26" t="s">
        <v>1125</v>
      </c>
      <c r="K1872" s="40">
        <f>(F1872*I1872)</f>
        <v>194.50666666666666</v>
      </c>
    </row>
    <row r="1873" spans="6:18" ht="24" customHeight="1">
      <c r="I1873" s="26" t="s">
        <v>27</v>
      </c>
      <c r="K1873" s="35" t="s">
        <v>48</v>
      </c>
    </row>
    <row r="1874" spans="6:18" ht="24" customHeight="1">
      <c r="H1874" s="26" t="s">
        <v>1878</v>
      </c>
      <c r="K1874" s="39">
        <f>SUM(K1870:K1872)</f>
        <v>238.70666666666665</v>
      </c>
    </row>
    <row r="1875" spans="6:18" ht="24" customHeight="1">
      <c r="H1875" s="26" t="s">
        <v>27</v>
      </c>
      <c r="I1875" s="26" t="s">
        <v>27</v>
      </c>
      <c r="K1875" s="35" t="s">
        <v>41</v>
      </c>
      <c r="N1875" s="38" t="s">
        <v>1035</v>
      </c>
      <c r="O1875" s="26" t="s">
        <v>1879</v>
      </c>
      <c r="Q1875" s="31"/>
    </row>
    <row r="1876" spans="6:18" ht="24" customHeight="1">
      <c r="G1876" s="38" t="s">
        <v>1064</v>
      </c>
      <c r="H1876" s="26" t="s">
        <v>1880</v>
      </c>
      <c r="N1876" s="29"/>
      <c r="O1876" s="35" t="s">
        <v>48</v>
      </c>
      <c r="Q1876" s="31"/>
    </row>
    <row r="1877" spans="6:18" ht="24" customHeight="1">
      <c r="H1877" s="35" t="s">
        <v>48</v>
      </c>
      <c r="M1877" s="40">
        <v>1</v>
      </c>
      <c r="N1877" s="38" t="s">
        <v>1125</v>
      </c>
      <c r="O1877" s="26" t="s">
        <v>1881</v>
      </c>
      <c r="P1877" s="40">
        <f>C520</f>
        <v>65</v>
      </c>
      <c r="Q1877" s="26" t="s">
        <v>1125</v>
      </c>
      <c r="R1877" s="40">
        <f>(M1877*P1877)</f>
        <v>65</v>
      </c>
    </row>
    <row r="1878" spans="6:18" ht="24" customHeight="1">
      <c r="F1878" s="40">
        <v>1</v>
      </c>
      <c r="G1878" s="38" t="s">
        <v>1125</v>
      </c>
      <c r="H1878" s="26" t="s">
        <v>1882</v>
      </c>
      <c r="I1878" s="40">
        <f>C518</f>
        <v>35</v>
      </c>
      <c r="J1878" s="26" t="s">
        <v>1125</v>
      </c>
      <c r="K1878" s="40">
        <f>(F1878*I1878)</f>
        <v>35</v>
      </c>
      <c r="M1878" s="40">
        <v>1</v>
      </c>
      <c r="N1878" s="38" t="s">
        <v>106</v>
      </c>
      <c r="O1878" s="26" t="s">
        <v>1883</v>
      </c>
      <c r="P1878" s="40">
        <f>P1877*0.2</f>
        <v>13</v>
      </c>
      <c r="Q1878" s="26" t="s">
        <v>106</v>
      </c>
      <c r="R1878" s="40">
        <f>(M1878*P1878)</f>
        <v>13</v>
      </c>
    </row>
    <row r="1879" spans="6:18" ht="24" customHeight="1">
      <c r="F1879" s="40">
        <v>1</v>
      </c>
      <c r="G1879" s="38" t="s">
        <v>106</v>
      </c>
      <c r="H1879" s="26" t="s">
        <v>1884</v>
      </c>
      <c r="I1879" s="40">
        <f>I1878*0.4</f>
        <v>14</v>
      </c>
      <c r="J1879" s="26" t="s">
        <v>106</v>
      </c>
      <c r="K1879" s="40">
        <f>(F1879*I1879)</f>
        <v>14</v>
      </c>
      <c r="M1879" s="40">
        <v>1</v>
      </c>
      <c r="N1879" s="38" t="s">
        <v>1125</v>
      </c>
      <c r="O1879" s="26" t="s">
        <v>1877</v>
      </c>
      <c r="P1879" s="40">
        <f>R1870</f>
        <v>200.21333333333331</v>
      </c>
      <c r="Q1879" s="26" t="s">
        <v>1125</v>
      </c>
      <c r="R1879" s="40">
        <f>(M1879*P1879)</f>
        <v>200.21333333333331</v>
      </c>
    </row>
    <row r="1880" spans="6:18" ht="24" customHeight="1">
      <c r="F1880" s="40">
        <v>1</v>
      </c>
      <c r="G1880" s="38" t="s">
        <v>1125</v>
      </c>
      <c r="H1880" s="26" t="s">
        <v>1877</v>
      </c>
      <c r="I1880" s="40">
        <f>K1836</f>
        <v>197.34666666666666</v>
      </c>
      <c r="J1880" s="26" t="s">
        <v>1125</v>
      </c>
      <c r="K1880" s="40">
        <f>(F1880*I1880)</f>
        <v>197.34666666666666</v>
      </c>
      <c r="N1880" s="29"/>
      <c r="P1880" s="26" t="s">
        <v>27</v>
      </c>
      <c r="Q1880" s="31"/>
      <c r="R1880" s="35" t="s">
        <v>48</v>
      </c>
    </row>
    <row r="1881" spans="6:18" ht="24" customHeight="1">
      <c r="I1881" s="26" t="s">
        <v>27</v>
      </c>
      <c r="K1881" s="35" t="s">
        <v>48</v>
      </c>
      <c r="N1881" s="29"/>
      <c r="O1881" s="26" t="s">
        <v>1878</v>
      </c>
      <c r="Q1881" s="31"/>
      <c r="R1881" s="39">
        <f>SUM(R1877:R1879)</f>
        <v>278.21333333333331</v>
      </c>
    </row>
    <row r="1882" spans="6:18" ht="24" customHeight="1">
      <c r="H1882" s="26" t="s">
        <v>1878</v>
      </c>
      <c r="K1882" s="39">
        <f>SUM(K1878:K1880)</f>
        <v>246.34666666666666</v>
      </c>
      <c r="N1882" s="29"/>
      <c r="P1882" s="26" t="s">
        <v>27</v>
      </c>
      <c r="Q1882" s="31"/>
      <c r="R1882" s="35" t="s">
        <v>41</v>
      </c>
    </row>
    <row r="1883" spans="6:18" ht="24" customHeight="1">
      <c r="I1883" s="26" t="s">
        <v>27</v>
      </c>
      <c r="K1883" s="35" t="s">
        <v>41</v>
      </c>
    </row>
    <row r="1884" spans="6:18" ht="49.5" customHeight="1">
      <c r="G1884" s="38" t="s">
        <v>1035</v>
      </c>
      <c r="H1884" s="26" t="s">
        <v>1885</v>
      </c>
    </row>
    <row r="1885" spans="6:18" ht="24" customHeight="1">
      <c r="H1885" s="35" t="s">
        <v>48</v>
      </c>
      <c r="N1885" s="38" t="s">
        <v>1035</v>
      </c>
      <c r="O1885" s="26" t="s">
        <v>709</v>
      </c>
      <c r="Q1885" s="31"/>
      <c r="R1885" s="26" t="s">
        <v>1886</v>
      </c>
    </row>
    <row r="1886" spans="6:18" ht="24" customHeight="1">
      <c r="F1886" s="40">
        <v>1</v>
      </c>
      <c r="G1886" s="38" t="s">
        <v>1125</v>
      </c>
      <c r="H1886" s="26" t="s">
        <v>1887</v>
      </c>
      <c r="I1886" s="40">
        <v>52</v>
      </c>
      <c r="J1886" s="26" t="s">
        <v>1125</v>
      </c>
      <c r="K1886" s="40">
        <f>(F1886*I1886)</f>
        <v>52</v>
      </c>
      <c r="N1886" s="29"/>
      <c r="O1886" s="35" t="s">
        <v>48</v>
      </c>
      <c r="Q1886" s="31"/>
      <c r="R1886" s="35" t="s">
        <v>41</v>
      </c>
    </row>
    <row r="1887" spans="6:18" ht="24" customHeight="1">
      <c r="F1887" s="40">
        <v>1</v>
      </c>
      <c r="G1887" s="38" t="s">
        <v>106</v>
      </c>
      <c r="H1887" s="26" t="s">
        <v>1883</v>
      </c>
      <c r="I1887" s="40">
        <f>I1886*0.2</f>
        <v>10.4</v>
      </c>
      <c r="J1887" s="26" t="s">
        <v>106</v>
      </c>
      <c r="K1887" s="40">
        <f>(F1887*I1887)</f>
        <v>10.4</v>
      </c>
      <c r="M1887" s="40">
        <v>30</v>
      </c>
      <c r="N1887" s="38" t="s">
        <v>244</v>
      </c>
      <c r="O1887" s="26" t="s">
        <v>715</v>
      </c>
      <c r="P1887" s="40">
        <v>9.5</v>
      </c>
      <c r="Q1887" s="26" t="s">
        <v>244</v>
      </c>
      <c r="R1887" s="40">
        <f>(M1887*P1887)</f>
        <v>285</v>
      </c>
    </row>
    <row r="1888" spans="6:18" ht="24" customHeight="1">
      <c r="F1888" s="40">
        <v>1</v>
      </c>
      <c r="G1888" s="38" t="s">
        <v>1125</v>
      </c>
      <c r="H1888" s="26" t="s">
        <v>1877</v>
      </c>
      <c r="I1888" s="40">
        <f>K1854</f>
        <v>199.76866666666669</v>
      </c>
      <c r="J1888" s="26" t="s">
        <v>1125</v>
      </c>
      <c r="K1888" s="40">
        <f>(F1888*I1888)</f>
        <v>199.76866666666669</v>
      </c>
      <c r="M1888" s="26" t="s">
        <v>27</v>
      </c>
      <c r="N1888" s="29"/>
      <c r="O1888" s="26" t="s">
        <v>718</v>
      </c>
      <c r="P1888" s="40" t="str">
        <f t="shared" ref="P1888:P1896" si="217">P1857</f>
        <v/>
      </c>
      <c r="Q1888" s="31"/>
      <c r="R1888" s="26" t="s">
        <v>27</v>
      </c>
    </row>
    <row r="1889" spans="6:18" ht="24" customHeight="1">
      <c r="I1889" s="26" t="s">
        <v>27</v>
      </c>
      <c r="K1889" s="35" t="s">
        <v>48</v>
      </c>
      <c r="M1889" s="40">
        <v>8</v>
      </c>
      <c r="N1889" s="38" t="s">
        <v>105</v>
      </c>
      <c r="O1889" s="26" t="s">
        <v>1888</v>
      </c>
      <c r="P1889" s="49">
        <v>13.8</v>
      </c>
      <c r="Q1889" s="26" t="s">
        <v>105</v>
      </c>
      <c r="R1889" s="40">
        <f t="shared" ref="R1889:R1894" si="218">(M1889*P1889)</f>
        <v>110.4</v>
      </c>
    </row>
    <row r="1890" spans="6:18" ht="24" customHeight="1">
      <c r="H1890" s="26" t="s">
        <v>1878</v>
      </c>
      <c r="K1890" s="39">
        <f>SUM(K1886:K1888)</f>
        <v>262.1686666666667</v>
      </c>
      <c r="M1890" s="40">
        <v>8</v>
      </c>
      <c r="N1890" s="38" t="s">
        <v>105</v>
      </c>
      <c r="O1890" s="26" t="s">
        <v>1889</v>
      </c>
      <c r="P1890" s="49">
        <v>32</v>
      </c>
      <c r="Q1890" s="26" t="s">
        <v>105</v>
      </c>
      <c r="R1890" s="40">
        <f t="shared" si="218"/>
        <v>256</v>
      </c>
    </row>
    <row r="1891" spans="6:18" ht="36.75" customHeight="1">
      <c r="I1891" s="26" t="s">
        <v>27</v>
      </c>
      <c r="K1891" s="35" t="s">
        <v>41</v>
      </c>
      <c r="M1891" s="40">
        <v>3</v>
      </c>
      <c r="N1891" s="38" t="s">
        <v>105</v>
      </c>
      <c r="O1891" s="26" t="s">
        <v>723</v>
      </c>
      <c r="P1891" s="40">
        <f t="shared" si="217"/>
        <v>796.59999999999991</v>
      </c>
      <c r="Q1891" s="26" t="s">
        <v>105</v>
      </c>
      <c r="R1891" s="40">
        <f t="shared" si="218"/>
        <v>2389.7999999999997</v>
      </c>
    </row>
    <row r="1892" spans="6:18" ht="24" customHeight="1">
      <c r="I1892" s="26"/>
      <c r="K1892" s="35"/>
      <c r="M1892" s="40">
        <v>1</v>
      </c>
      <c r="N1892" s="38" t="s">
        <v>105</v>
      </c>
      <c r="O1892" s="26" t="s">
        <v>1856</v>
      </c>
      <c r="P1892" s="40">
        <f t="shared" si="217"/>
        <v>1076.5999999999999</v>
      </c>
      <c r="Q1892" s="26" t="s">
        <v>105</v>
      </c>
      <c r="R1892" s="40">
        <f t="shared" si="218"/>
        <v>1076.5999999999999</v>
      </c>
    </row>
    <row r="1893" spans="6:18" ht="24" customHeight="1">
      <c r="G1893" s="38" t="s">
        <v>1035</v>
      </c>
      <c r="H1893" s="26" t="s">
        <v>1890</v>
      </c>
      <c r="M1893" s="40">
        <v>2</v>
      </c>
      <c r="N1893" s="38" t="s">
        <v>105</v>
      </c>
      <c r="O1893" s="26" t="s">
        <v>271</v>
      </c>
      <c r="P1893" s="40">
        <f t="shared" si="217"/>
        <v>702.8</v>
      </c>
      <c r="Q1893" s="26" t="s">
        <v>105</v>
      </c>
      <c r="R1893" s="40">
        <f t="shared" si="218"/>
        <v>1405.6</v>
      </c>
    </row>
    <row r="1894" spans="6:18" ht="24" customHeight="1">
      <c r="H1894" s="35" t="s">
        <v>48</v>
      </c>
      <c r="M1894" s="40">
        <v>1</v>
      </c>
      <c r="N1894" s="38" t="s">
        <v>105</v>
      </c>
      <c r="O1894" s="26" t="s">
        <v>276</v>
      </c>
      <c r="P1894" s="40">
        <f t="shared" si="217"/>
        <v>576.79999999999995</v>
      </c>
      <c r="Q1894" s="26" t="s">
        <v>105</v>
      </c>
      <c r="R1894" s="40">
        <f t="shared" si="218"/>
        <v>576.79999999999995</v>
      </c>
    </row>
    <row r="1895" spans="6:18" ht="24" customHeight="1">
      <c r="F1895" s="40">
        <v>1</v>
      </c>
      <c r="G1895" s="38" t="s">
        <v>1125</v>
      </c>
      <c r="H1895" s="26" t="s">
        <v>1891</v>
      </c>
      <c r="I1895" s="40">
        <f>C521</f>
        <v>82</v>
      </c>
      <c r="J1895" s="26" t="s">
        <v>1125</v>
      </c>
      <c r="K1895" s="40">
        <f>(F1895*I1895)</f>
        <v>82</v>
      </c>
      <c r="N1895" s="38" t="s">
        <v>106</v>
      </c>
      <c r="O1895" s="26" t="s">
        <v>1857</v>
      </c>
      <c r="P1895" s="40">
        <f t="shared" si="217"/>
        <v>5.26</v>
      </c>
      <c r="Q1895" s="26" t="s">
        <v>106</v>
      </c>
      <c r="R1895" s="40">
        <v>5</v>
      </c>
    </row>
    <row r="1896" spans="6:18" ht="24" customHeight="1">
      <c r="F1896" s="40">
        <v>1</v>
      </c>
      <c r="G1896" s="38" t="s">
        <v>106</v>
      </c>
      <c r="H1896" s="26" t="s">
        <v>1883</v>
      </c>
      <c r="I1896" s="40">
        <f>I1895*0.2</f>
        <v>16.400000000000002</v>
      </c>
      <c r="J1896" s="26" t="s">
        <v>106</v>
      </c>
      <c r="K1896" s="40">
        <f>(F1896*I1896)</f>
        <v>16.400000000000002</v>
      </c>
      <c r="N1896" s="29"/>
      <c r="O1896" s="26" t="s">
        <v>1858</v>
      </c>
      <c r="P1896" s="40" t="str">
        <f t="shared" si="217"/>
        <v/>
      </c>
      <c r="Q1896" s="31"/>
      <c r="R1896" s="26" t="s">
        <v>27</v>
      </c>
    </row>
    <row r="1897" spans="6:18" ht="24" customHeight="1">
      <c r="F1897" s="40">
        <v>1</v>
      </c>
      <c r="G1897" s="38" t="s">
        <v>1125</v>
      </c>
      <c r="H1897" s="26" t="s">
        <v>1877</v>
      </c>
      <c r="I1897" s="40">
        <f>I1888</f>
        <v>199.76866666666669</v>
      </c>
      <c r="J1897" s="26" t="s">
        <v>1125</v>
      </c>
      <c r="K1897" s="40">
        <f>(F1897*I1897)</f>
        <v>199.76866666666669</v>
      </c>
      <c r="N1897" s="38" t="s">
        <v>106</v>
      </c>
      <c r="O1897" s="26" t="s">
        <v>107</v>
      </c>
      <c r="P1897" s="40" t="str">
        <f>I1881</f>
        <v/>
      </c>
      <c r="Q1897" s="26" t="s">
        <v>106</v>
      </c>
      <c r="R1897" s="40">
        <v>0</v>
      </c>
    </row>
    <row r="1898" spans="6:18" ht="24" customHeight="1">
      <c r="I1898" s="26" t="s">
        <v>27</v>
      </c>
      <c r="K1898" s="35" t="s">
        <v>48</v>
      </c>
      <c r="N1898" s="29"/>
      <c r="Q1898" s="31"/>
      <c r="R1898" s="35" t="s">
        <v>48</v>
      </c>
    </row>
    <row r="1899" spans="6:18" ht="24" customHeight="1">
      <c r="H1899" s="26" t="s">
        <v>1878</v>
      </c>
      <c r="K1899" s="39">
        <f>SUM(K1895:K1897)</f>
        <v>298.1686666666667</v>
      </c>
      <c r="N1899" s="29"/>
      <c r="O1899" s="26" t="s">
        <v>729</v>
      </c>
      <c r="Q1899" s="31"/>
      <c r="R1899" s="40">
        <f>SUM(R1887:R1897)</f>
        <v>6105.2</v>
      </c>
    </row>
    <row r="1900" spans="6:18" ht="24" customHeight="1">
      <c r="I1900" s="26" t="s">
        <v>27</v>
      </c>
      <c r="K1900" s="35" t="s">
        <v>41</v>
      </c>
      <c r="N1900" s="29"/>
      <c r="Q1900" s="31"/>
      <c r="R1900" s="35" t="s">
        <v>48</v>
      </c>
    </row>
    <row r="1901" spans="6:18" ht="24" customHeight="1">
      <c r="I1901" s="26"/>
      <c r="K1901" s="35"/>
      <c r="N1901" s="29"/>
      <c r="O1901" s="26" t="s">
        <v>665</v>
      </c>
      <c r="Q1901" s="31"/>
      <c r="R1901" s="40">
        <f>(R1899/30)</f>
        <v>203.50666666666666</v>
      </c>
    </row>
    <row r="1902" spans="6:18" ht="39" customHeight="1">
      <c r="F1902" s="275">
        <v>52.1</v>
      </c>
      <c r="H1902" s="276" t="s">
        <v>1892</v>
      </c>
      <c r="I1902" s="26"/>
      <c r="K1902" s="35"/>
      <c r="N1902" s="29"/>
      <c r="Q1902" s="31"/>
      <c r="R1902" s="35" t="s">
        <v>48</v>
      </c>
    </row>
    <row r="1903" spans="6:18" ht="24" customHeight="1">
      <c r="I1903" s="26"/>
      <c r="K1903" s="35"/>
    </row>
    <row r="1904" spans="6:18" ht="24" customHeight="1">
      <c r="F1904" s="27"/>
      <c r="G1904" s="38"/>
      <c r="H1904" s="26" t="s">
        <v>641</v>
      </c>
      <c r="I1904" s="26"/>
      <c r="K1904" s="35"/>
    </row>
    <row r="1905" spans="6:18" ht="24" customHeight="1">
      <c r="G1905" s="38"/>
      <c r="H1905" s="26" t="s">
        <v>1893</v>
      </c>
      <c r="I1905" s="26"/>
      <c r="K1905" s="35"/>
    </row>
    <row r="1906" spans="6:18" ht="24" customHeight="1">
      <c r="H1906" s="35" t="s">
        <v>48</v>
      </c>
      <c r="I1906" s="26"/>
      <c r="K1906" s="35"/>
      <c r="N1906" s="38" t="s">
        <v>1035</v>
      </c>
      <c r="O1906" s="26" t="s">
        <v>1890</v>
      </c>
      <c r="Q1906" s="31"/>
    </row>
    <row r="1907" spans="6:18" ht="24" customHeight="1">
      <c r="F1907" s="40">
        <v>30</v>
      </c>
      <c r="G1907" s="38" t="s">
        <v>244</v>
      </c>
      <c r="H1907" s="26" t="s">
        <v>1894</v>
      </c>
      <c r="I1907" s="138">
        <f>E661</f>
        <v>10.92</v>
      </c>
      <c r="J1907" s="26" t="s">
        <v>244</v>
      </c>
      <c r="K1907" s="40">
        <f>(F1907*I1907)</f>
        <v>327.60000000000002</v>
      </c>
      <c r="N1907" s="29"/>
      <c r="O1907" s="35" t="s">
        <v>48</v>
      </c>
      <c r="Q1907" s="31"/>
    </row>
    <row r="1908" spans="6:18" ht="24" customHeight="1">
      <c r="F1908" s="40">
        <v>8</v>
      </c>
      <c r="G1908" s="38" t="s">
        <v>105</v>
      </c>
      <c r="H1908" s="26" t="s">
        <v>657</v>
      </c>
      <c r="I1908" s="138">
        <f>C663</f>
        <v>7.1</v>
      </c>
      <c r="J1908" s="26" t="s">
        <v>105</v>
      </c>
      <c r="K1908" s="40">
        <f t="shared" ref="K1908:K1913" si="219">(F1908*I1908)</f>
        <v>56.8</v>
      </c>
      <c r="M1908" s="40">
        <v>1</v>
      </c>
      <c r="N1908" s="38" t="s">
        <v>1125</v>
      </c>
      <c r="O1908" s="26" t="s">
        <v>1895</v>
      </c>
      <c r="P1908" s="40">
        <f>C521</f>
        <v>82</v>
      </c>
      <c r="Q1908" s="26" t="s">
        <v>1125</v>
      </c>
      <c r="R1908" s="40">
        <f>(M1908*P1908)</f>
        <v>82</v>
      </c>
    </row>
    <row r="1909" spans="6:18" ht="24" customHeight="1">
      <c r="F1909" s="40">
        <v>8</v>
      </c>
      <c r="G1909" s="38" t="s">
        <v>105</v>
      </c>
      <c r="H1909" s="26" t="s">
        <v>660</v>
      </c>
      <c r="I1909" s="138">
        <f>D672</f>
        <v>21.1</v>
      </c>
      <c r="J1909" s="26" t="s">
        <v>105</v>
      </c>
      <c r="K1909" s="40">
        <f t="shared" si="219"/>
        <v>168.8</v>
      </c>
      <c r="M1909" s="40">
        <v>1</v>
      </c>
      <c r="N1909" s="38" t="s">
        <v>106</v>
      </c>
      <c r="O1909" s="26" t="s">
        <v>1883</v>
      </c>
      <c r="P1909" s="40">
        <f>P1908*0.2</f>
        <v>16.400000000000002</v>
      </c>
      <c r="Q1909" s="26" t="s">
        <v>106</v>
      </c>
      <c r="R1909" s="40">
        <f>(M1909*P1909)</f>
        <v>16.400000000000002</v>
      </c>
    </row>
    <row r="1910" spans="6:18" ht="24" customHeight="1">
      <c r="F1910" s="40">
        <v>3</v>
      </c>
      <c r="G1910" s="38" t="s">
        <v>105</v>
      </c>
      <c r="H1910" s="26" t="s">
        <v>723</v>
      </c>
      <c r="I1910" s="138">
        <f>C41</f>
        <v>796.59999999999991</v>
      </c>
      <c r="J1910" s="26" t="s">
        <v>105</v>
      </c>
      <c r="K1910" s="40">
        <f t="shared" si="219"/>
        <v>2389.7999999999997</v>
      </c>
      <c r="M1910" s="40">
        <v>1</v>
      </c>
      <c r="N1910" s="38" t="s">
        <v>1125</v>
      </c>
      <c r="O1910" s="26" t="s">
        <v>1877</v>
      </c>
      <c r="P1910" s="40">
        <f>R1901</f>
        <v>203.50666666666666</v>
      </c>
      <c r="Q1910" s="26" t="s">
        <v>1125</v>
      </c>
      <c r="R1910" s="40">
        <f>(M1910*P1910)</f>
        <v>203.50666666666666</v>
      </c>
    </row>
    <row r="1911" spans="6:18" ht="24" customHeight="1">
      <c r="F1911" s="40">
        <v>1</v>
      </c>
      <c r="G1911" s="38" t="s">
        <v>105</v>
      </c>
      <c r="H1911" s="26" t="s">
        <v>1856</v>
      </c>
      <c r="I1911" s="138">
        <f>C10</f>
        <v>1076.5999999999999</v>
      </c>
      <c r="J1911" s="26" t="s">
        <v>105</v>
      </c>
      <c r="K1911" s="40">
        <f t="shared" si="219"/>
        <v>1076.5999999999999</v>
      </c>
      <c r="N1911" s="29"/>
      <c r="P1911" s="26" t="s">
        <v>27</v>
      </c>
      <c r="Q1911" s="31"/>
      <c r="R1911" s="35" t="s">
        <v>48</v>
      </c>
    </row>
    <row r="1912" spans="6:18" ht="24" customHeight="1">
      <c r="F1912" s="40">
        <v>2</v>
      </c>
      <c r="G1912" s="38" t="s">
        <v>105</v>
      </c>
      <c r="H1912" s="26" t="s">
        <v>271</v>
      </c>
      <c r="I1912" s="138">
        <f>C12</f>
        <v>702.8</v>
      </c>
      <c r="J1912" s="26" t="s">
        <v>105</v>
      </c>
      <c r="K1912" s="40">
        <f t="shared" si="219"/>
        <v>1405.6</v>
      </c>
      <c r="N1912" s="29"/>
      <c r="O1912" s="26" t="s">
        <v>1878</v>
      </c>
      <c r="Q1912" s="31"/>
      <c r="R1912" s="39">
        <f>SUM(R1908:R1910)</f>
        <v>301.90666666666664</v>
      </c>
    </row>
    <row r="1913" spans="6:18" ht="24" customHeight="1">
      <c r="F1913" s="40">
        <v>1</v>
      </c>
      <c r="G1913" s="38" t="s">
        <v>105</v>
      </c>
      <c r="H1913" s="26" t="s">
        <v>276</v>
      </c>
      <c r="I1913" s="138">
        <f>C13</f>
        <v>576.79999999999995</v>
      </c>
      <c r="J1913" s="26" t="s">
        <v>105</v>
      </c>
      <c r="K1913" s="40">
        <f t="shared" si="219"/>
        <v>576.79999999999995</v>
      </c>
      <c r="N1913" s="29"/>
      <c r="P1913" s="26" t="s">
        <v>27</v>
      </c>
      <c r="Q1913" s="31"/>
      <c r="R1913" s="35" t="s">
        <v>41</v>
      </c>
    </row>
    <row r="1914" spans="6:18" ht="24" customHeight="1">
      <c r="K1914" s="35" t="s">
        <v>48</v>
      </c>
    </row>
    <row r="1915" spans="6:18" ht="24" customHeight="1">
      <c r="H1915" s="26" t="s">
        <v>729</v>
      </c>
      <c r="K1915" s="40">
        <f>SUM(K1907:K1913)</f>
        <v>6002</v>
      </c>
    </row>
    <row r="1916" spans="6:18" ht="24" customHeight="1">
      <c r="K1916" s="35" t="s">
        <v>48</v>
      </c>
    </row>
    <row r="1917" spans="6:18" ht="24" customHeight="1">
      <c r="H1917" s="26" t="s">
        <v>665</v>
      </c>
      <c r="K1917" s="40">
        <f>(K1915/30)</f>
        <v>200.06666666666666</v>
      </c>
    </row>
    <row r="1918" spans="6:18" ht="24" customHeight="1">
      <c r="K1918" s="35" t="s">
        <v>48</v>
      </c>
    </row>
    <row r="1919" spans="6:18" ht="24" customHeight="1">
      <c r="I1919" s="26"/>
      <c r="K1919" s="35"/>
    </row>
    <row r="1920" spans="6:18" ht="24" customHeight="1">
      <c r="H1920" s="28" t="s">
        <v>1896</v>
      </c>
      <c r="I1920" s="26"/>
      <c r="K1920" s="35"/>
    </row>
    <row r="1921" spans="6:11" ht="24" customHeight="1">
      <c r="H1921" s="35" t="s">
        <v>48</v>
      </c>
      <c r="I1921" s="26"/>
      <c r="K1921" s="35"/>
    </row>
    <row r="1922" spans="6:11" ht="24" customHeight="1">
      <c r="F1922" s="40">
        <v>1</v>
      </c>
      <c r="G1922" s="38" t="s">
        <v>1125</v>
      </c>
      <c r="H1922" s="26" t="s">
        <v>1897</v>
      </c>
      <c r="I1922" s="138">
        <f>E698</f>
        <v>98.6</v>
      </c>
      <c r="J1922" s="26" t="s">
        <v>1125</v>
      </c>
      <c r="K1922" s="40">
        <f>(F1922*I1922)</f>
        <v>98.6</v>
      </c>
    </row>
    <row r="1923" spans="6:11" ht="24" customHeight="1">
      <c r="F1923" s="40">
        <v>1</v>
      </c>
      <c r="G1923" s="38" t="s">
        <v>106</v>
      </c>
      <c r="H1923" s="26" t="s">
        <v>1898</v>
      </c>
      <c r="I1923" s="138">
        <f>I1922*0.2</f>
        <v>19.72</v>
      </c>
      <c r="J1923" s="26" t="s">
        <v>106</v>
      </c>
      <c r="K1923" s="40">
        <f>(F1923*I1923)</f>
        <v>19.72</v>
      </c>
    </row>
    <row r="1924" spans="6:11" ht="24" customHeight="1">
      <c r="F1924" s="40">
        <v>1</v>
      </c>
      <c r="G1924" s="38" t="s">
        <v>1125</v>
      </c>
      <c r="H1924" s="26" t="s">
        <v>1877</v>
      </c>
      <c r="I1924" s="138">
        <f>K1917</f>
        <v>200.06666666666666</v>
      </c>
      <c r="J1924" s="26" t="s">
        <v>1125</v>
      </c>
      <c r="K1924" s="40">
        <f>(F1924*I1924)</f>
        <v>200.06666666666666</v>
      </c>
    </row>
    <row r="1925" spans="6:11" ht="24" customHeight="1">
      <c r="F1925" s="40"/>
      <c r="G1925" s="38"/>
      <c r="H1925" s="88" t="s">
        <v>1899</v>
      </c>
      <c r="I1925" s="138"/>
      <c r="J1925" s="26" t="s">
        <v>106</v>
      </c>
      <c r="K1925" s="40">
        <f>1.25+0.47</f>
        <v>1.72</v>
      </c>
    </row>
    <row r="1926" spans="6:11" ht="24" customHeight="1">
      <c r="I1926" s="26"/>
      <c r="K1926" s="35" t="s">
        <v>48</v>
      </c>
    </row>
    <row r="1927" spans="6:11" ht="24" customHeight="1">
      <c r="H1927" s="26" t="s">
        <v>1878</v>
      </c>
      <c r="I1927" s="26"/>
      <c r="K1927" s="39">
        <f>SUM(K1922:K1925)</f>
        <v>320.10666666666668</v>
      </c>
    </row>
    <row r="1928" spans="6:11" ht="24" customHeight="1">
      <c r="I1928" s="26"/>
      <c r="K1928" s="35" t="s">
        <v>41</v>
      </c>
    </row>
    <row r="1929" spans="6:11" ht="24" customHeight="1">
      <c r="I1929" s="26"/>
      <c r="K1929" s="35"/>
    </row>
    <row r="1930" spans="6:11" ht="24" customHeight="1">
      <c r="I1930" s="26"/>
      <c r="K1930" s="35"/>
    </row>
    <row r="1931" spans="6:11" ht="24" customHeight="1">
      <c r="F1931" s="77">
        <v>53.1</v>
      </c>
      <c r="G1931" s="38" t="s">
        <v>67</v>
      </c>
      <c r="H1931" s="26" t="s">
        <v>1900</v>
      </c>
    </row>
    <row r="1932" spans="6:11" ht="24" customHeight="1">
      <c r="H1932" s="30" t="s">
        <v>1901</v>
      </c>
    </row>
    <row r="1933" spans="6:11" ht="24" customHeight="1">
      <c r="H1933" s="26" t="s">
        <v>1902</v>
      </c>
    </row>
    <row r="1934" spans="6:11" ht="24" customHeight="1">
      <c r="H1934" s="26" t="s">
        <v>1903</v>
      </c>
    </row>
    <row r="1935" spans="6:11" ht="24" customHeight="1">
      <c r="H1935" s="35" t="s">
        <v>48</v>
      </c>
    </row>
    <row r="1936" spans="6:11" ht="85.5" customHeight="1">
      <c r="F1936" s="277">
        <v>1</v>
      </c>
      <c r="G1936" s="277" t="s">
        <v>105</v>
      </c>
      <c r="H1936" s="278" t="s">
        <v>1904</v>
      </c>
      <c r="I1936" s="277">
        <f>(C617)</f>
        <v>1640</v>
      </c>
      <c r="J1936" s="279" t="s">
        <v>105</v>
      </c>
      <c r="K1936" s="277">
        <f>(F1936*I1936)</f>
        <v>1640</v>
      </c>
    </row>
    <row r="1937" spans="6:22" ht="24" customHeight="1">
      <c r="F1937" s="40"/>
      <c r="G1937" s="38"/>
      <c r="H1937" s="78"/>
      <c r="I1937" s="40"/>
      <c r="J1937" s="26"/>
      <c r="K1937" s="40"/>
    </row>
    <row r="1938" spans="6:22" ht="24" customHeight="1">
      <c r="F1938" s="40"/>
      <c r="G1938" s="38"/>
      <c r="H1938" s="78"/>
      <c r="I1938" s="40"/>
      <c r="J1938" s="27"/>
      <c r="K1938" s="40"/>
    </row>
    <row r="1939" spans="6:22" ht="24" customHeight="1">
      <c r="F1939" s="280">
        <v>1</v>
      </c>
      <c r="G1939" s="280" t="s">
        <v>105</v>
      </c>
      <c r="H1939" s="26" t="s">
        <v>1905</v>
      </c>
      <c r="I1939" s="281">
        <v>-166</v>
      </c>
      <c r="J1939" s="78" t="s">
        <v>105</v>
      </c>
      <c r="K1939" s="280">
        <f>(F1939*I1939)</f>
        <v>-166</v>
      </c>
    </row>
    <row r="1940" spans="6:22" ht="24" customHeight="1">
      <c r="F1940" s="48"/>
      <c r="G1940" s="273"/>
      <c r="H1940" s="78"/>
      <c r="I1940" s="48"/>
      <c r="J1940" s="103"/>
      <c r="K1940" s="48"/>
    </row>
    <row r="1941" spans="6:22" ht="24" customHeight="1">
      <c r="F1941" s="48">
        <v>1</v>
      </c>
      <c r="G1941" s="273" t="s">
        <v>105</v>
      </c>
      <c r="H1941" s="78" t="s">
        <v>1906</v>
      </c>
      <c r="I1941" s="282">
        <v>250</v>
      </c>
      <c r="J1941" s="78" t="s">
        <v>105</v>
      </c>
      <c r="K1941" s="283">
        <f>(F1941*I1941)</f>
        <v>250</v>
      </c>
    </row>
    <row r="1942" spans="6:22" ht="24" customHeight="1">
      <c r="F1942" s="40"/>
      <c r="G1942" s="38"/>
      <c r="H1942" s="26"/>
      <c r="I1942" s="40"/>
      <c r="J1942" s="26"/>
      <c r="K1942" s="40"/>
    </row>
    <row r="1943" spans="6:22" ht="24" customHeight="1">
      <c r="F1943" s="40">
        <v>0.5</v>
      </c>
      <c r="G1943" s="38" t="s">
        <v>105</v>
      </c>
      <c r="H1943" s="26" t="s">
        <v>1741</v>
      </c>
      <c r="I1943" s="40">
        <f>(C15)</f>
        <v>933.8</v>
      </c>
      <c r="J1943" s="26" t="s">
        <v>105</v>
      </c>
      <c r="K1943" s="40">
        <f>(F1943*I1943)</f>
        <v>466.9</v>
      </c>
      <c r="N1943" s="28">
        <f>7635</f>
        <v>7635</v>
      </c>
    </row>
    <row r="1944" spans="6:22" ht="24" customHeight="1">
      <c r="F1944" s="40">
        <v>1</v>
      </c>
      <c r="G1944" s="38" t="s">
        <v>105</v>
      </c>
      <c r="H1944" s="26" t="s">
        <v>271</v>
      </c>
      <c r="I1944" s="40">
        <f>(C12)</f>
        <v>702.8</v>
      </c>
      <c r="J1944" s="26" t="s">
        <v>105</v>
      </c>
      <c r="K1944" s="40">
        <f>(F1944*I1944)</f>
        <v>702.8</v>
      </c>
      <c r="N1944" s="28">
        <f>N1943*4%</f>
        <v>305.40000000000003</v>
      </c>
    </row>
    <row r="1945" spans="6:22" ht="24" customHeight="1">
      <c r="F1945" s="40">
        <v>0.5</v>
      </c>
      <c r="G1945" s="38" t="s">
        <v>105</v>
      </c>
      <c r="H1945" s="26" t="s">
        <v>298</v>
      </c>
      <c r="I1945" s="40">
        <f>(C10)</f>
        <v>1076.5999999999999</v>
      </c>
      <c r="J1945" s="26" t="s">
        <v>105</v>
      </c>
      <c r="K1945" s="40">
        <f>(F1945*I1945)</f>
        <v>538.29999999999995</v>
      </c>
      <c r="N1945" s="28">
        <f>SUM(N1943:N1944)</f>
        <v>7940.4</v>
      </c>
    </row>
    <row r="1946" spans="6:22" ht="24" customHeight="1">
      <c r="G1946" s="38" t="s">
        <v>106</v>
      </c>
      <c r="H1946" s="26" t="s">
        <v>1907</v>
      </c>
      <c r="J1946" s="26" t="s">
        <v>106</v>
      </c>
      <c r="K1946" s="40">
        <v>0.82</v>
      </c>
    </row>
    <row r="1947" spans="6:22" ht="24" customHeight="1">
      <c r="K1947" s="35" t="s">
        <v>48</v>
      </c>
    </row>
    <row r="1948" spans="6:22" ht="24" customHeight="1">
      <c r="H1948" s="26" t="s">
        <v>830</v>
      </c>
      <c r="K1948" s="40">
        <f>SUM(K1936:K1946)</f>
        <v>3432.82</v>
      </c>
    </row>
    <row r="1949" spans="6:22" ht="24" customHeight="1">
      <c r="K1949" s="35" t="s">
        <v>48</v>
      </c>
    </row>
    <row r="1950" spans="6:22" ht="24" customHeight="1">
      <c r="F1950" s="27" t="s">
        <v>1908</v>
      </c>
      <c r="H1950" s="26" t="s">
        <v>1909</v>
      </c>
      <c r="J1950" s="26" t="s">
        <v>793</v>
      </c>
      <c r="K1950" s="284">
        <v>967.5</v>
      </c>
      <c r="V1950" s="26" t="s">
        <v>1855</v>
      </c>
    </row>
    <row r="1951" spans="6:22" ht="24" customHeight="1">
      <c r="H1951" s="26" t="s">
        <v>1910</v>
      </c>
      <c r="J1951" s="26" t="s">
        <v>793</v>
      </c>
      <c r="K1951" s="285">
        <v>1828</v>
      </c>
    </row>
    <row r="1952" spans="6:22" ht="24" customHeight="1">
      <c r="F1952" s="27" t="s">
        <v>1911</v>
      </c>
      <c r="H1952" s="26" t="s">
        <v>1912</v>
      </c>
      <c r="J1952" s="26" t="s">
        <v>793</v>
      </c>
      <c r="K1952" s="284">
        <v>30</v>
      </c>
    </row>
    <row r="1953" spans="6:18" ht="24" customHeight="1">
      <c r="F1953" s="27"/>
      <c r="H1953" s="26"/>
      <c r="K1953" s="26"/>
    </row>
    <row r="1954" spans="6:18" ht="24" customHeight="1">
      <c r="F1954" s="64">
        <v>54</v>
      </c>
      <c r="G1954" s="38" t="s">
        <v>67</v>
      </c>
      <c r="H1954" s="26" t="s">
        <v>1913</v>
      </c>
      <c r="J1954" s="26" t="s">
        <v>793</v>
      </c>
      <c r="K1954" s="286">
        <v>202</v>
      </c>
    </row>
    <row r="1955" spans="6:18" ht="24" customHeight="1">
      <c r="K1955" s="35" t="s">
        <v>41</v>
      </c>
    </row>
    <row r="1957" spans="6:18" ht="24" customHeight="1">
      <c r="F1957" s="77">
        <v>54.1</v>
      </c>
      <c r="G1957" s="38" t="s">
        <v>67</v>
      </c>
      <c r="H1957" s="26" t="s">
        <v>1914</v>
      </c>
      <c r="J1957" s="26" t="s">
        <v>793</v>
      </c>
      <c r="K1957" s="150">
        <v>300</v>
      </c>
    </row>
    <row r="1958" spans="6:18" ht="24" customHeight="1">
      <c r="K1958" s="35" t="s">
        <v>41</v>
      </c>
    </row>
    <row r="1960" spans="6:18" ht="24" customHeight="1">
      <c r="F1960" s="77">
        <v>54.2</v>
      </c>
      <c r="G1960" s="38" t="s">
        <v>67</v>
      </c>
      <c r="H1960" s="26" t="s">
        <v>1915</v>
      </c>
      <c r="J1960" s="26" t="s">
        <v>793</v>
      </c>
      <c r="K1960" s="150">
        <v>250</v>
      </c>
    </row>
    <row r="1961" spans="6:18" ht="24" customHeight="1">
      <c r="K1961" s="35" t="s">
        <v>41</v>
      </c>
    </row>
    <row r="1962" spans="6:18" ht="24" hidden="1" customHeight="1"/>
    <row r="1963" spans="6:18" ht="24" customHeight="1">
      <c r="F1963" s="27" t="s">
        <v>1916</v>
      </c>
      <c r="G1963" s="38" t="s">
        <v>67</v>
      </c>
      <c r="H1963" s="26" t="s">
        <v>1917</v>
      </c>
      <c r="M1963" s="27" t="s">
        <v>1916</v>
      </c>
      <c r="N1963" s="38" t="s">
        <v>67</v>
      </c>
      <c r="O1963" s="26" t="s">
        <v>1917</v>
      </c>
      <c r="Q1963" s="31"/>
    </row>
    <row r="1964" spans="6:18" ht="24" customHeight="1">
      <c r="H1964" s="26" t="s">
        <v>1918</v>
      </c>
      <c r="N1964" s="29"/>
      <c r="O1964" s="26" t="s">
        <v>1918</v>
      </c>
      <c r="Q1964" s="31"/>
    </row>
    <row r="1965" spans="6:18" ht="24" customHeight="1">
      <c r="H1965" s="26" t="s">
        <v>1919</v>
      </c>
      <c r="N1965" s="29"/>
      <c r="O1965" s="26" t="s">
        <v>1919</v>
      </c>
      <c r="Q1965" s="31"/>
    </row>
    <row r="1966" spans="6:18" ht="24" customHeight="1">
      <c r="H1966" s="26" t="s">
        <v>1920</v>
      </c>
      <c r="N1966" s="29"/>
      <c r="O1966" s="26" t="s">
        <v>1920</v>
      </c>
      <c r="Q1966" s="31"/>
    </row>
    <row r="1967" spans="6:18" ht="24" customHeight="1">
      <c r="H1967" s="35" t="s">
        <v>48</v>
      </c>
      <c r="N1967" s="29"/>
      <c r="O1967" s="35" t="s">
        <v>48</v>
      </c>
      <c r="Q1967" s="31"/>
    </row>
    <row r="1968" spans="6:18" ht="24" customHeight="1">
      <c r="F1968" s="40">
        <v>1</v>
      </c>
      <c r="G1968" s="38" t="s">
        <v>105</v>
      </c>
      <c r="H1968" s="26" t="s">
        <v>1921</v>
      </c>
      <c r="I1968" s="40">
        <f>(C201)</f>
        <v>1180</v>
      </c>
      <c r="J1968" s="26" t="s">
        <v>105</v>
      </c>
      <c r="K1968" s="40">
        <f t="shared" ref="K1968:K1974" si="220">(F1968*I1968)</f>
        <v>1180</v>
      </c>
      <c r="M1968" s="40">
        <v>1</v>
      </c>
      <c r="N1968" s="38" t="s">
        <v>105</v>
      </c>
      <c r="O1968" s="26" t="s">
        <v>1921</v>
      </c>
      <c r="P1968" s="40">
        <f>I1968</f>
        <v>1180</v>
      </c>
      <c r="Q1968" s="26" t="s">
        <v>105</v>
      </c>
      <c r="R1968" s="40">
        <f t="shared" ref="R1968:R1974" si="221">(M1968*P1968)</f>
        <v>1180</v>
      </c>
    </row>
    <row r="1969" spans="6:18" ht="24" customHeight="1">
      <c r="F1969" s="40">
        <v>0.65</v>
      </c>
      <c r="G1969" s="38" t="s">
        <v>93</v>
      </c>
      <c r="H1969" s="26" t="s">
        <v>1922</v>
      </c>
      <c r="I1969" s="40">
        <f>(C61*2)</f>
        <v>235.2</v>
      </c>
      <c r="J1969" s="26" t="s">
        <v>93</v>
      </c>
      <c r="K1969" s="40">
        <f t="shared" si="220"/>
        <v>152.88</v>
      </c>
      <c r="M1969" s="40">
        <v>0.65</v>
      </c>
      <c r="N1969" s="38" t="s">
        <v>93</v>
      </c>
      <c r="O1969" s="26" t="s">
        <v>1922</v>
      </c>
      <c r="P1969" s="40">
        <f t="shared" ref="P1969:P1975" si="222">I1969</f>
        <v>235.2</v>
      </c>
      <c r="Q1969" s="26" t="s">
        <v>93</v>
      </c>
      <c r="R1969" s="40">
        <f t="shared" si="221"/>
        <v>152.88</v>
      </c>
    </row>
    <row r="1970" spans="6:18" ht="24" customHeight="1">
      <c r="F1970" s="40">
        <v>0.56999999999999995</v>
      </c>
      <c r="G1970" s="38" t="s">
        <v>93</v>
      </c>
      <c r="H1970" s="26" t="s">
        <v>1923</v>
      </c>
      <c r="I1970" s="40">
        <f>(C26)</f>
        <v>41.019999999999996</v>
      </c>
      <c r="J1970" s="26" t="s">
        <v>93</v>
      </c>
      <c r="K1970" s="40">
        <f t="shared" si="220"/>
        <v>23.381399999999996</v>
      </c>
      <c r="M1970" s="40">
        <v>0.56999999999999995</v>
      </c>
      <c r="N1970" s="38" t="s">
        <v>93</v>
      </c>
      <c r="O1970" s="26" t="s">
        <v>1923</v>
      </c>
      <c r="P1970" s="40">
        <f t="shared" si="222"/>
        <v>41.019999999999996</v>
      </c>
      <c r="Q1970" s="26" t="s">
        <v>93</v>
      </c>
      <c r="R1970" s="40">
        <f t="shared" si="221"/>
        <v>23.381399999999996</v>
      </c>
    </row>
    <row r="1971" spans="6:18" ht="24" customHeight="1">
      <c r="F1971" s="76">
        <v>8.1000000000000003E-2</v>
      </c>
      <c r="G1971" s="38" t="s">
        <v>93</v>
      </c>
      <c r="H1971" s="26" t="s">
        <v>1924</v>
      </c>
      <c r="I1971" s="40">
        <f>(R60)</f>
        <v>5588.5829999999996</v>
      </c>
      <c r="J1971" s="26" t="s">
        <v>93</v>
      </c>
      <c r="K1971" s="40">
        <f t="shared" si="220"/>
        <v>452.67522299999996</v>
      </c>
      <c r="M1971" s="76">
        <v>8.1000000000000003E-2</v>
      </c>
      <c r="N1971" s="38" t="s">
        <v>93</v>
      </c>
      <c r="O1971" s="26" t="s">
        <v>1924</v>
      </c>
      <c r="P1971" s="40">
        <f t="shared" si="222"/>
        <v>5588.5829999999996</v>
      </c>
      <c r="Q1971" s="26" t="s">
        <v>93</v>
      </c>
      <c r="R1971" s="40">
        <f t="shared" si="221"/>
        <v>452.67522299999996</v>
      </c>
    </row>
    <row r="1972" spans="6:18" ht="24" customHeight="1">
      <c r="F1972" s="40">
        <v>1</v>
      </c>
      <c r="G1972" s="38" t="s">
        <v>105</v>
      </c>
      <c r="H1972" s="26" t="s">
        <v>1741</v>
      </c>
      <c r="I1972" s="40">
        <f>(C15)</f>
        <v>933.8</v>
      </c>
      <c r="J1972" s="26" t="s">
        <v>105</v>
      </c>
      <c r="K1972" s="40">
        <f t="shared" si="220"/>
        <v>933.8</v>
      </c>
      <c r="M1972" s="40">
        <v>1</v>
      </c>
      <c r="N1972" s="38" t="s">
        <v>105</v>
      </c>
      <c r="O1972" s="26" t="s">
        <v>1741</v>
      </c>
      <c r="P1972" s="40">
        <f t="shared" si="222"/>
        <v>933.8</v>
      </c>
      <c r="Q1972" s="26" t="s">
        <v>105</v>
      </c>
      <c r="R1972" s="40">
        <f t="shared" si="221"/>
        <v>933.8</v>
      </c>
    </row>
    <row r="1973" spans="6:18" ht="24" customHeight="1">
      <c r="F1973" s="40">
        <v>0.5</v>
      </c>
      <c r="G1973" s="38" t="s">
        <v>105</v>
      </c>
      <c r="H1973" s="26" t="s">
        <v>269</v>
      </c>
      <c r="I1973" s="40">
        <f>(C11)</f>
        <v>1005.1999999999999</v>
      </c>
      <c r="J1973" s="26" t="s">
        <v>105</v>
      </c>
      <c r="K1973" s="40">
        <f t="shared" si="220"/>
        <v>502.59999999999997</v>
      </c>
      <c r="M1973" s="40">
        <v>0.5</v>
      </c>
      <c r="N1973" s="38" t="s">
        <v>105</v>
      </c>
      <c r="O1973" s="26" t="s">
        <v>269</v>
      </c>
      <c r="P1973" s="40">
        <f t="shared" si="222"/>
        <v>1005.1999999999999</v>
      </c>
      <c r="Q1973" s="26" t="s">
        <v>105</v>
      </c>
      <c r="R1973" s="40">
        <f t="shared" si="221"/>
        <v>502.59999999999997</v>
      </c>
    </row>
    <row r="1974" spans="6:18" ht="24" customHeight="1">
      <c r="F1974" s="40">
        <v>0.5</v>
      </c>
      <c r="G1974" s="38" t="s">
        <v>105</v>
      </c>
      <c r="H1974" s="26" t="s">
        <v>271</v>
      </c>
      <c r="I1974" s="40">
        <f>(C12)</f>
        <v>702.8</v>
      </c>
      <c r="J1974" s="26" t="s">
        <v>105</v>
      </c>
      <c r="K1974" s="40">
        <f t="shared" si="220"/>
        <v>351.4</v>
      </c>
      <c r="M1974" s="40">
        <v>0.5</v>
      </c>
      <c r="N1974" s="38" t="s">
        <v>105</v>
      </c>
      <c r="O1974" s="26" t="s">
        <v>271</v>
      </c>
      <c r="P1974" s="40">
        <f t="shared" si="222"/>
        <v>702.8</v>
      </c>
      <c r="Q1974" s="26" t="s">
        <v>105</v>
      </c>
      <c r="R1974" s="40">
        <f t="shared" si="221"/>
        <v>351.4</v>
      </c>
    </row>
    <row r="1975" spans="6:18" ht="24" customHeight="1">
      <c r="G1975" s="38" t="s">
        <v>106</v>
      </c>
      <c r="H1975" s="26" t="s">
        <v>107</v>
      </c>
      <c r="I1975" s="26" t="s">
        <v>27</v>
      </c>
      <c r="J1975" s="26" t="s">
        <v>106</v>
      </c>
      <c r="K1975" s="40">
        <v>1.25</v>
      </c>
      <c r="N1975" s="38"/>
      <c r="O1975" s="30" t="s">
        <v>1925</v>
      </c>
      <c r="P1975" s="40" t="str">
        <f t="shared" si="222"/>
        <v/>
      </c>
      <c r="Q1975" s="26"/>
      <c r="R1975" s="73">
        <v>-164</v>
      </c>
    </row>
    <row r="1976" spans="6:18" ht="24" customHeight="1">
      <c r="K1976" s="35" t="s">
        <v>48</v>
      </c>
      <c r="O1976" s="30" t="s">
        <v>1926</v>
      </c>
      <c r="P1976" s="40"/>
      <c r="Q1976" s="26"/>
      <c r="R1976" s="73">
        <v>134.1</v>
      </c>
    </row>
    <row r="1977" spans="6:18" ht="24" customHeight="1" thickBot="1">
      <c r="H1977" s="26" t="s">
        <v>830</v>
      </c>
      <c r="K1977" s="40">
        <f>SUM(K1968:K1975)</f>
        <v>3597.9866229999998</v>
      </c>
      <c r="N1977" s="29" t="s">
        <v>363</v>
      </c>
      <c r="O1977" s="30" t="s">
        <v>1236</v>
      </c>
      <c r="Q1977" s="31"/>
      <c r="R1977" s="40">
        <v>0.32</v>
      </c>
    </row>
    <row r="1978" spans="6:18" ht="24" customHeight="1" thickTop="1">
      <c r="K1978" s="35" t="s">
        <v>41</v>
      </c>
      <c r="N1978" s="29"/>
      <c r="O1978" s="26" t="s">
        <v>830</v>
      </c>
      <c r="Q1978" s="31"/>
      <c r="R1978" s="287">
        <f>SUM(R1968:R1977)</f>
        <v>3567.1566229999999</v>
      </c>
    </row>
    <row r="1979" spans="6:18" ht="24" customHeight="1" thickBot="1">
      <c r="G1979" s="38" t="s">
        <v>27</v>
      </c>
      <c r="H1979" s="26" t="s">
        <v>27</v>
      </c>
      <c r="K1979" s="26" t="s">
        <v>27</v>
      </c>
      <c r="N1979" s="29"/>
      <c r="Q1979" s="31"/>
      <c r="R1979" s="288"/>
    </row>
    <row r="1980" spans="6:18" ht="24" customHeight="1" thickTop="1">
      <c r="J1980" s="26" t="s">
        <v>27</v>
      </c>
      <c r="K1980" s="26" t="s">
        <v>27</v>
      </c>
    </row>
    <row r="1981" spans="6:18" ht="24" customHeight="1">
      <c r="F1981" s="27" t="s">
        <v>1927</v>
      </c>
      <c r="G1981" s="38" t="s">
        <v>67</v>
      </c>
      <c r="H1981" s="26" t="s">
        <v>1917</v>
      </c>
      <c r="M1981" s="27" t="s">
        <v>1927</v>
      </c>
      <c r="N1981" s="38" t="s">
        <v>67</v>
      </c>
      <c r="O1981" s="26" t="s">
        <v>1917</v>
      </c>
      <c r="Q1981" s="31"/>
    </row>
    <row r="1982" spans="6:18" ht="24" customHeight="1">
      <c r="H1982" s="26" t="s">
        <v>1918</v>
      </c>
      <c r="N1982" s="29"/>
      <c r="O1982" s="26" t="s">
        <v>1918</v>
      </c>
      <c r="Q1982" s="31"/>
    </row>
    <row r="1983" spans="6:18" ht="24" customHeight="1">
      <c r="H1983" s="26" t="s">
        <v>1919</v>
      </c>
      <c r="N1983" s="29"/>
      <c r="O1983" s="26" t="s">
        <v>1919</v>
      </c>
      <c r="Q1983" s="31"/>
    </row>
    <row r="1984" spans="6:18" ht="24" customHeight="1">
      <c r="H1984" s="26" t="s">
        <v>1928</v>
      </c>
      <c r="N1984" s="29"/>
      <c r="O1984" s="26" t="s">
        <v>1928</v>
      </c>
      <c r="Q1984" s="31"/>
    </row>
    <row r="1985" spans="6:18" ht="24" customHeight="1">
      <c r="H1985" s="35" t="s">
        <v>48</v>
      </c>
      <c r="N1985" s="29"/>
      <c r="O1985" s="35" t="s">
        <v>48</v>
      </c>
      <c r="Q1985" s="31"/>
    </row>
    <row r="1986" spans="6:18" ht="24" customHeight="1">
      <c r="F1986" s="40">
        <v>1</v>
      </c>
      <c r="G1986" s="38" t="s">
        <v>105</v>
      </c>
      <c r="H1986" s="26" t="s">
        <v>1921</v>
      </c>
      <c r="I1986" s="40">
        <f>(C201)</f>
        <v>1180</v>
      </c>
      <c r="J1986" s="26" t="s">
        <v>105</v>
      </c>
      <c r="K1986" s="40">
        <f>(F1986*I1986)</f>
        <v>1180</v>
      </c>
      <c r="M1986" s="40">
        <v>1</v>
      </c>
      <c r="N1986" s="38" t="s">
        <v>105</v>
      </c>
      <c r="O1986" s="26" t="s">
        <v>1921</v>
      </c>
      <c r="P1986" s="40">
        <f>I1986</f>
        <v>1180</v>
      </c>
      <c r="Q1986" s="26" t="s">
        <v>105</v>
      </c>
      <c r="R1986" s="40">
        <f>(M1986*P1986)</f>
        <v>1180</v>
      </c>
    </row>
    <row r="1987" spans="6:18" ht="24" customHeight="1">
      <c r="F1987" s="76">
        <v>0.40500000000000003</v>
      </c>
      <c r="G1987" s="38" t="s">
        <v>93</v>
      </c>
      <c r="H1987" s="26" t="s">
        <v>1929</v>
      </c>
      <c r="I1987" s="40">
        <f>(K1330)</f>
        <v>5618.2849999999989</v>
      </c>
      <c r="J1987" s="26" t="s">
        <v>93</v>
      </c>
      <c r="K1987" s="40">
        <f>(F1987*I1987)</f>
        <v>2275.4054249999999</v>
      </c>
      <c r="M1987" s="76">
        <v>0.40500000000000003</v>
      </c>
      <c r="N1987" s="38" t="s">
        <v>93</v>
      </c>
      <c r="O1987" s="26" t="s">
        <v>1929</v>
      </c>
      <c r="P1987" s="40">
        <f t="shared" ref="P1987:P1996" si="223">I1987</f>
        <v>5618.2849999999989</v>
      </c>
      <c r="Q1987" s="26" t="s">
        <v>93</v>
      </c>
      <c r="R1987" s="40">
        <f>(M1987*P1987)</f>
        <v>2275.4054249999999</v>
      </c>
    </row>
    <row r="1988" spans="6:18" ht="24" customHeight="1">
      <c r="H1988" s="26" t="s">
        <v>1930</v>
      </c>
      <c r="I1988" s="26" t="s">
        <v>27</v>
      </c>
      <c r="K1988" s="26" t="s">
        <v>27</v>
      </c>
      <c r="N1988" s="29"/>
      <c r="O1988" s="26" t="s">
        <v>1930</v>
      </c>
      <c r="P1988" s="40" t="str">
        <f t="shared" si="223"/>
        <v/>
      </c>
      <c r="Q1988" s="31"/>
      <c r="R1988" s="26" t="s">
        <v>27</v>
      </c>
    </row>
    <row r="1989" spans="6:18" ht="24" customHeight="1">
      <c r="F1989" s="40">
        <v>1.89</v>
      </c>
      <c r="G1989" s="38" t="s">
        <v>438</v>
      </c>
      <c r="H1989" s="26" t="s">
        <v>1931</v>
      </c>
      <c r="I1989" s="40">
        <f>(K1442)</f>
        <v>305.29696000000001</v>
      </c>
      <c r="J1989" s="26" t="s">
        <v>438</v>
      </c>
      <c r="K1989" s="40">
        <f>(F1989*I1989)</f>
        <v>577.01125439999998</v>
      </c>
      <c r="M1989" s="40">
        <v>1.89</v>
      </c>
      <c r="N1989" s="38" t="s">
        <v>438</v>
      </c>
      <c r="O1989" s="26" t="s">
        <v>1931</v>
      </c>
      <c r="P1989" s="40">
        <f t="shared" si="223"/>
        <v>305.29696000000001</v>
      </c>
      <c r="Q1989" s="26" t="s">
        <v>438</v>
      </c>
      <c r="R1989" s="40">
        <f>(M1989*P1989)</f>
        <v>577.01125439999998</v>
      </c>
    </row>
    <row r="1990" spans="6:18" ht="24" customHeight="1">
      <c r="H1990" s="26" t="s">
        <v>1932</v>
      </c>
      <c r="I1990" s="26" t="s">
        <v>27</v>
      </c>
      <c r="K1990" s="26" t="s">
        <v>27</v>
      </c>
      <c r="N1990" s="29"/>
      <c r="O1990" s="26" t="s">
        <v>1932</v>
      </c>
      <c r="P1990" s="40" t="str">
        <f t="shared" si="223"/>
        <v/>
      </c>
      <c r="Q1990" s="31"/>
      <c r="R1990" s="26" t="s">
        <v>27</v>
      </c>
    </row>
    <row r="1991" spans="6:18" ht="24" customHeight="1">
      <c r="F1991" s="76">
        <v>8.1000000000000003E-2</v>
      </c>
      <c r="G1991" s="38" t="s">
        <v>93</v>
      </c>
      <c r="H1991" s="26" t="s">
        <v>1933</v>
      </c>
      <c r="I1991" s="40">
        <f>(R60)</f>
        <v>5588.5829999999996</v>
      </c>
      <c r="J1991" s="26" t="s">
        <v>93</v>
      </c>
      <c r="K1991" s="40">
        <f>(F1991*I1991)</f>
        <v>452.67522299999996</v>
      </c>
      <c r="M1991" s="76">
        <v>8.1000000000000003E-2</v>
      </c>
      <c r="N1991" s="38" t="s">
        <v>93</v>
      </c>
      <c r="O1991" s="26" t="s">
        <v>1933</v>
      </c>
      <c r="P1991" s="40">
        <f t="shared" si="223"/>
        <v>5588.5829999999996</v>
      </c>
      <c r="Q1991" s="26" t="s">
        <v>93</v>
      </c>
      <c r="R1991" s="40">
        <f>(M1991*P1991)</f>
        <v>452.67522299999996</v>
      </c>
    </row>
    <row r="1992" spans="6:18" ht="24" customHeight="1">
      <c r="H1992" s="26" t="s">
        <v>1934</v>
      </c>
      <c r="N1992" s="29"/>
      <c r="O1992" s="26" t="s">
        <v>1934</v>
      </c>
      <c r="P1992" s="40"/>
      <c r="Q1992" s="31"/>
    </row>
    <row r="1993" spans="6:18" ht="24" customHeight="1">
      <c r="F1993" s="40">
        <v>1</v>
      </c>
      <c r="G1993" s="38" t="s">
        <v>196</v>
      </c>
      <c r="H1993" s="26" t="s">
        <v>1741</v>
      </c>
      <c r="I1993" s="40">
        <f>(C15)</f>
        <v>933.8</v>
      </c>
      <c r="J1993" s="26" t="s">
        <v>196</v>
      </c>
      <c r="K1993" s="40">
        <f>(F1993*I1993)</f>
        <v>933.8</v>
      </c>
      <c r="M1993" s="40">
        <v>1</v>
      </c>
      <c r="N1993" s="38" t="s">
        <v>196</v>
      </c>
      <c r="O1993" s="26" t="s">
        <v>1741</v>
      </c>
      <c r="P1993" s="40">
        <f t="shared" si="223"/>
        <v>933.8</v>
      </c>
      <c r="Q1993" s="26" t="s">
        <v>196</v>
      </c>
      <c r="R1993" s="40">
        <f>(M1993*P1993)</f>
        <v>933.8</v>
      </c>
    </row>
    <row r="1994" spans="6:18" ht="24" customHeight="1">
      <c r="F1994" s="40">
        <v>0.5</v>
      </c>
      <c r="G1994" s="38" t="s">
        <v>105</v>
      </c>
      <c r="H1994" s="26" t="s">
        <v>269</v>
      </c>
      <c r="I1994" s="40">
        <f>(C11)</f>
        <v>1005.1999999999999</v>
      </c>
      <c r="J1994" s="26" t="s">
        <v>105</v>
      </c>
      <c r="K1994" s="40">
        <f>(F1994*I1994)</f>
        <v>502.59999999999997</v>
      </c>
      <c r="M1994" s="40">
        <v>0.5</v>
      </c>
      <c r="N1994" s="38" t="s">
        <v>105</v>
      </c>
      <c r="O1994" s="26" t="s">
        <v>269</v>
      </c>
      <c r="P1994" s="40">
        <f t="shared" si="223"/>
        <v>1005.1999999999999</v>
      </c>
      <c r="Q1994" s="26" t="s">
        <v>105</v>
      </c>
      <c r="R1994" s="40">
        <f>(M1994*P1994)</f>
        <v>502.59999999999997</v>
      </c>
    </row>
    <row r="1995" spans="6:18" ht="24" customHeight="1">
      <c r="F1995" s="40">
        <v>0.5</v>
      </c>
      <c r="G1995" s="38" t="s">
        <v>105</v>
      </c>
      <c r="H1995" s="26" t="s">
        <v>271</v>
      </c>
      <c r="I1995" s="40">
        <f>(C12)</f>
        <v>702.8</v>
      </c>
      <c r="J1995" s="26" t="s">
        <v>105</v>
      </c>
      <c r="K1995" s="40">
        <f>(F1995*I1995)</f>
        <v>351.4</v>
      </c>
      <c r="M1995" s="40">
        <v>0.5</v>
      </c>
      <c r="N1995" s="38" t="s">
        <v>105</v>
      </c>
      <c r="O1995" s="26" t="s">
        <v>271</v>
      </c>
      <c r="P1995" s="40">
        <f t="shared" si="223"/>
        <v>702.8</v>
      </c>
      <c r="Q1995" s="26" t="s">
        <v>105</v>
      </c>
      <c r="R1995" s="40">
        <f>(M1995*P1995)</f>
        <v>351.4</v>
      </c>
    </row>
    <row r="1996" spans="6:18" ht="24" customHeight="1">
      <c r="G1996" s="38" t="s">
        <v>106</v>
      </c>
      <c r="H1996" s="26" t="s">
        <v>107</v>
      </c>
      <c r="I1996" s="26" t="s">
        <v>27</v>
      </c>
      <c r="J1996" s="26" t="s">
        <v>106</v>
      </c>
      <c r="K1996" s="40">
        <v>1.03</v>
      </c>
      <c r="N1996" s="38"/>
      <c r="O1996" s="30" t="s">
        <v>1925</v>
      </c>
      <c r="P1996" s="40" t="str">
        <f t="shared" si="223"/>
        <v/>
      </c>
      <c r="Q1996" s="26"/>
      <c r="R1996" s="73">
        <v>-164</v>
      </c>
    </row>
    <row r="1997" spans="6:18" ht="24" customHeight="1">
      <c r="H1997" s="26" t="s">
        <v>27</v>
      </c>
      <c r="K1997" s="35" t="s">
        <v>48</v>
      </c>
      <c r="O1997" s="30" t="s">
        <v>1926</v>
      </c>
      <c r="P1997" s="40"/>
      <c r="Q1997" s="26"/>
      <c r="R1997" s="73">
        <v>134.1</v>
      </c>
    </row>
    <row r="1998" spans="6:18" ht="24" customHeight="1" thickBot="1">
      <c r="H1998" s="26" t="s">
        <v>830</v>
      </c>
      <c r="K1998" s="40">
        <f>SUM(K1986:K1996)</f>
        <v>6273.9219023999995</v>
      </c>
      <c r="N1998" s="29" t="s">
        <v>363</v>
      </c>
      <c r="O1998" s="30" t="s">
        <v>1236</v>
      </c>
      <c r="Q1998" s="31"/>
      <c r="R1998" s="40">
        <v>0.47</v>
      </c>
    </row>
    <row r="1999" spans="6:18" ht="24" customHeight="1" thickTop="1">
      <c r="K1999" s="35" t="s">
        <v>41</v>
      </c>
      <c r="N1999" s="29"/>
      <c r="O1999" s="78" t="s">
        <v>830</v>
      </c>
      <c r="Q1999" s="31"/>
      <c r="R1999" s="287">
        <f>SUM(R1986:R1998)</f>
        <v>6243.4619024000003</v>
      </c>
    </row>
    <row r="2000" spans="6:18" ht="24" customHeight="1" thickBot="1">
      <c r="G2000" s="38" t="s">
        <v>27</v>
      </c>
      <c r="H2000" s="26" t="s">
        <v>27</v>
      </c>
      <c r="K2000" s="26" t="s">
        <v>27</v>
      </c>
      <c r="N2000" s="29"/>
      <c r="Q2000" s="31"/>
      <c r="R2000" s="288"/>
    </row>
    <row r="2001" spans="6:19" ht="24" customHeight="1" thickTop="1">
      <c r="F2001" s="64">
        <v>57</v>
      </c>
      <c r="G2001" s="38" t="s">
        <v>67</v>
      </c>
      <c r="H2001" s="26" t="s">
        <v>1935</v>
      </c>
    </row>
    <row r="2002" spans="6:19" ht="24" customHeight="1">
      <c r="H2002" s="26" t="s">
        <v>1936</v>
      </c>
      <c r="M2002" s="64">
        <v>57</v>
      </c>
      <c r="N2002" s="38" t="s">
        <v>67</v>
      </c>
      <c r="O2002" s="26" t="s">
        <v>1935</v>
      </c>
      <c r="Q2002" s="31"/>
      <c r="S2002" s="28"/>
    </row>
    <row r="2003" spans="6:19" ht="24" customHeight="1">
      <c r="H2003" s="26" t="s">
        <v>1937</v>
      </c>
      <c r="N2003" s="29"/>
      <c r="O2003" s="26" t="s">
        <v>1936</v>
      </c>
      <c r="Q2003" s="31"/>
      <c r="S2003" s="28"/>
    </row>
    <row r="2004" spans="6:19" ht="24" customHeight="1">
      <c r="H2004" s="35" t="s">
        <v>48</v>
      </c>
      <c r="N2004" s="29"/>
      <c r="O2004" s="26" t="s">
        <v>1937</v>
      </c>
      <c r="Q2004" s="31"/>
      <c r="S2004" s="28"/>
    </row>
    <row r="2005" spans="6:19" ht="60.75" customHeight="1">
      <c r="F2005" s="277">
        <v>1</v>
      </c>
      <c r="G2005" s="277" t="s">
        <v>845</v>
      </c>
      <c r="H2005" s="92" t="s">
        <v>1938</v>
      </c>
      <c r="I2005" s="277">
        <f>C613</f>
        <v>3030</v>
      </c>
      <c r="J2005" s="279" t="s">
        <v>845</v>
      </c>
      <c r="K2005" s="277">
        <f>(F2005*I2005)</f>
        <v>3030</v>
      </c>
      <c r="N2005" s="29"/>
      <c r="O2005" s="35" t="s">
        <v>48</v>
      </c>
      <c r="Q2005" s="31"/>
      <c r="S2005" s="28"/>
    </row>
    <row r="2006" spans="6:19" ht="48.75" customHeight="1">
      <c r="F2006" s="40"/>
      <c r="G2006" s="38"/>
      <c r="H2006" s="289" t="s">
        <v>1939</v>
      </c>
      <c r="I2006" s="40"/>
      <c r="J2006" s="26"/>
      <c r="K2006" s="40"/>
      <c r="M2006" s="277">
        <v>1</v>
      </c>
      <c r="N2006" s="277" t="s">
        <v>845</v>
      </c>
      <c r="O2006" s="92" t="s">
        <v>1940</v>
      </c>
      <c r="P2006" s="277">
        <f>I2005</f>
        <v>3030</v>
      </c>
      <c r="Q2006" s="279" t="s">
        <v>845</v>
      </c>
      <c r="R2006" s="277">
        <f>(M2006*P2006)</f>
        <v>3030</v>
      </c>
      <c r="S2006" s="28"/>
    </row>
    <row r="2007" spans="6:19" ht="36" customHeight="1">
      <c r="F2007" s="40">
        <v>1</v>
      </c>
      <c r="G2007" s="38" t="s">
        <v>105</v>
      </c>
      <c r="H2007" s="26" t="s">
        <v>298</v>
      </c>
      <c r="I2007" s="40">
        <f>(C10)</f>
        <v>1076.5999999999999</v>
      </c>
      <c r="J2007" s="26" t="s">
        <v>105</v>
      </c>
      <c r="K2007" s="40">
        <f>(F2007*I2007)</f>
        <v>1076.5999999999999</v>
      </c>
      <c r="M2007" s="40"/>
      <c r="N2007" s="38"/>
      <c r="O2007" s="289" t="s">
        <v>1939</v>
      </c>
      <c r="P2007" s="40"/>
      <c r="Q2007" s="26"/>
      <c r="R2007" s="40"/>
      <c r="S2007" s="28"/>
    </row>
    <row r="2008" spans="6:19" ht="24" customHeight="1">
      <c r="F2008" s="40">
        <v>2</v>
      </c>
      <c r="G2008" s="38" t="s">
        <v>105</v>
      </c>
      <c r="H2008" s="26" t="s">
        <v>1741</v>
      </c>
      <c r="I2008" s="40">
        <f>(C15)</f>
        <v>933.8</v>
      </c>
      <c r="J2008" s="26" t="s">
        <v>105</v>
      </c>
      <c r="K2008" s="40">
        <f>(F2008*I2008)</f>
        <v>1867.6</v>
      </c>
      <c r="M2008" s="40">
        <v>1</v>
      </c>
      <c r="N2008" s="38" t="s">
        <v>105</v>
      </c>
      <c r="O2008" s="26" t="s">
        <v>298</v>
      </c>
      <c r="P2008" s="40">
        <f t="shared" ref="P2008:P2013" si="224">I2007</f>
        <v>1076.5999999999999</v>
      </c>
      <c r="Q2008" s="26" t="s">
        <v>105</v>
      </c>
      <c r="R2008" s="40">
        <f>(M2008*P2008)</f>
        <v>1076.5999999999999</v>
      </c>
      <c r="S2008" s="28"/>
    </row>
    <row r="2009" spans="6:19" ht="24" customHeight="1">
      <c r="F2009" s="40">
        <v>1</v>
      </c>
      <c r="G2009" s="38" t="s">
        <v>105</v>
      </c>
      <c r="H2009" s="26" t="s">
        <v>276</v>
      </c>
      <c r="I2009" s="40">
        <f>(C13)</f>
        <v>576.79999999999995</v>
      </c>
      <c r="J2009" s="26" t="s">
        <v>105</v>
      </c>
      <c r="K2009" s="40">
        <f>(F2009*I2009)</f>
        <v>576.79999999999995</v>
      </c>
      <c r="M2009" s="40">
        <v>2</v>
      </c>
      <c r="N2009" s="38" t="s">
        <v>105</v>
      </c>
      <c r="O2009" s="26" t="s">
        <v>1741</v>
      </c>
      <c r="P2009" s="40">
        <f t="shared" si="224"/>
        <v>933.8</v>
      </c>
      <c r="Q2009" s="26" t="s">
        <v>105</v>
      </c>
      <c r="R2009" s="40">
        <f>(M2009*P2009)</f>
        <v>1867.6</v>
      </c>
      <c r="S2009" s="28"/>
    </row>
    <row r="2010" spans="6:19" ht="24" customHeight="1">
      <c r="F2010" s="40"/>
      <c r="G2010" s="38"/>
      <c r="H2010" s="289" t="s">
        <v>1941</v>
      </c>
      <c r="I2010" s="40"/>
      <c r="J2010" s="26"/>
      <c r="K2010" s="40"/>
      <c r="M2010" s="40">
        <v>1</v>
      </c>
      <c r="N2010" s="38" t="s">
        <v>105</v>
      </c>
      <c r="O2010" s="26" t="s">
        <v>276</v>
      </c>
      <c r="P2010" s="40">
        <f t="shared" si="224"/>
        <v>576.79999999999995</v>
      </c>
      <c r="Q2010" s="26" t="s">
        <v>105</v>
      </c>
      <c r="R2010" s="40">
        <f>(M2010*P2010)</f>
        <v>576.79999999999995</v>
      </c>
      <c r="S2010" s="28"/>
    </row>
    <row r="2011" spans="6:19" ht="24" customHeight="1">
      <c r="F2011" s="40">
        <v>0.5</v>
      </c>
      <c r="G2011" s="38" t="s">
        <v>105</v>
      </c>
      <c r="H2011" s="26" t="s">
        <v>1741</v>
      </c>
      <c r="I2011" s="40">
        <f>(C15)</f>
        <v>933.8</v>
      </c>
      <c r="J2011" s="26" t="s">
        <v>105</v>
      </c>
      <c r="K2011" s="40">
        <f>(F2011*I2011)</f>
        <v>466.9</v>
      </c>
      <c r="M2011" s="40"/>
      <c r="N2011" s="38"/>
      <c r="O2011" s="289" t="s">
        <v>1941</v>
      </c>
      <c r="P2011" s="40"/>
      <c r="Q2011" s="26"/>
      <c r="R2011" s="40"/>
      <c r="S2011" s="28"/>
    </row>
    <row r="2012" spans="6:19" ht="24" customHeight="1">
      <c r="F2012" s="40">
        <v>0.5</v>
      </c>
      <c r="G2012" s="38" t="s">
        <v>105</v>
      </c>
      <c r="H2012" s="26" t="s">
        <v>271</v>
      </c>
      <c r="I2012" s="40">
        <f>(C12)</f>
        <v>702.8</v>
      </c>
      <c r="J2012" s="26" t="s">
        <v>105</v>
      </c>
      <c r="K2012" s="40">
        <f>(F2012*I2012)</f>
        <v>351.4</v>
      </c>
      <c r="M2012" s="40">
        <v>0.5</v>
      </c>
      <c r="N2012" s="38" t="s">
        <v>105</v>
      </c>
      <c r="O2012" s="26" t="s">
        <v>1741</v>
      </c>
      <c r="P2012" s="40">
        <f t="shared" si="224"/>
        <v>933.8</v>
      </c>
      <c r="Q2012" s="26" t="s">
        <v>105</v>
      </c>
      <c r="R2012" s="40">
        <f>(M2012*P2012)</f>
        <v>466.9</v>
      </c>
      <c r="S2012" s="28"/>
    </row>
    <row r="2013" spans="6:19" ht="24" customHeight="1">
      <c r="G2013" s="38" t="s">
        <v>106</v>
      </c>
      <c r="H2013" s="26" t="s">
        <v>107</v>
      </c>
      <c r="J2013" s="26" t="s">
        <v>106</v>
      </c>
      <c r="K2013" s="40">
        <v>0.7</v>
      </c>
      <c r="M2013" s="40">
        <v>0.5</v>
      </c>
      <c r="N2013" s="38" t="s">
        <v>105</v>
      </c>
      <c r="O2013" s="26" t="s">
        <v>271</v>
      </c>
      <c r="P2013" s="40">
        <f t="shared" si="224"/>
        <v>702.8</v>
      </c>
      <c r="Q2013" s="26" t="s">
        <v>105</v>
      </c>
      <c r="R2013" s="40">
        <f>(M2013*P2013)</f>
        <v>351.4</v>
      </c>
      <c r="S2013" s="28"/>
    </row>
    <row r="2014" spans="6:19" ht="24" customHeight="1">
      <c r="K2014" s="35" t="s">
        <v>48</v>
      </c>
      <c r="M2014" s="40"/>
      <c r="N2014" s="38"/>
      <c r="O2014" s="30" t="s">
        <v>1925</v>
      </c>
      <c r="P2014" s="40">
        <f>I2014</f>
        <v>0</v>
      </c>
      <c r="Q2014" s="26"/>
      <c r="R2014" s="73">
        <v>-164</v>
      </c>
      <c r="S2014" s="28"/>
    </row>
    <row r="2015" spans="6:19" ht="24" customHeight="1">
      <c r="H2015" s="26" t="s">
        <v>830</v>
      </c>
      <c r="K2015" s="40">
        <f>SUM(K2005:K2013)</f>
        <v>7370</v>
      </c>
      <c r="M2015" s="40"/>
      <c r="N2015" s="38"/>
      <c r="O2015" s="30" t="s">
        <v>1926</v>
      </c>
      <c r="P2015" s="40"/>
      <c r="Q2015" s="26"/>
      <c r="R2015" s="73">
        <v>134.1</v>
      </c>
      <c r="S2015" s="28"/>
    </row>
    <row r="2016" spans="6:19" ht="24" customHeight="1">
      <c r="F2016" s="26" t="s">
        <v>27</v>
      </c>
      <c r="N2016" s="38" t="s">
        <v>106</v>
      </c>
      <c r="O2016" s="26" t="s">
        <v>107</v>
      </c>
      <c r="Q2016" s="26" t="s">
        <v>106</v>
      </c>
      <c r="R2016" s="40">
        <v>0.7</v>
      </c>
      <c r="S2016" s="28"/>
    </row>
    <row r="2017" spans="6:19" ht="24" customHeight="1">
      <c r="K2017" s="35" t="s">
        <v>48</v>
      </c>
      <c r="N2017" s="29"/>
      <c r="O2017" s="26" t="s">
        <v>830</v>
      </c>
      <c r="Q2017" s="31"/>
      <c r="R2017" s="40"/>
      <c r="S2017" s="28"/>
    </row>
    <row r="2018" spans="6:19" ht="24" customHeight="1">
      <c r="G2018" s="38" t="s">
        <v>27</v>
      </c>
      <c r="H2018" s="26" t="s">
        <v>27</v>
      </c>
      <c r="K2018" s="26" t="s">
        <v>27</v>
      </c>
      <c r="N2018" s="29"/>
      <c r="Q2018" s="31"/>
      <c r="R2018" s="41">
        <f>SUM(R2006:R2017)</f>
        <v>7340.1</v>
      </c>
      <c r="S2018" s="28"/>
    </row>
    <row r="2019" spans="6:19" ht="24" customHeight="1">
      <c r="H2019" s="26" t="s">
        <v>27</v>
      </c>
      <c r="M2019" s="26" t="s">
        <v>27</v>
      </c>
      <c r="N2019" s="29"/>
      <c r="S2019" s="28"/>
    </row>
    <row r="2020" spans="6:19" ht="24" customHeight="1">
      <c r="F2020" s="77">
        <v>57.1</v>
      </c>
      <c r="G2020" s="38" t="s">
        <v>67</v>
      </c>
      <c r="H2020" s="26" t="s">
        <v>1942</v>
      </c>
      <c r="M2020" s="64">
        <v>57</v>
      </c>
      <c r="N2020" s="38" t="s">
        <v>67</v>
      </c>
      <c r="O2020" s="26" t="s">
        <v>1942</v>
      </c>
      <c r="Q2020" s="31"/>
      <c r="S2020" s="28"/>
    </row>
    <row r="2021" spans="6:19" ht="24" customHeight="1">
      <c r="H2021" s="26" t="s">
        <v>1936</v>
      </c>
      <c r="N2021" s="29"/>
      <c r="O2021" s="26" t="s">
        <v>1936</v>
      </c>
      <c r="Q2021" s="31"/>
    </row>
    <row r="2022" spans="6:19" ht="24" customHeight="1">
      <c r="H2022" s="26" t="s">
        <v>1937</v>
      </c>
      <c r="N2022" s="29"/>
      <c r="O2022" s="26" t="s">
        <v>1937</v>
      </c>
      <c r="Q2022" s="31"/>
    </row>
    <row r="2023" spans="6:19" ht="24" customHeight="1">
      <c r="H2023" s="35" t="s">
        <v>48</v>
      </c>
      <c r="N2023" s="29"/>
      <c r="O2023" s="35" t="s">
        <v>48</v>
      </c>
      <c r="Q2023" s="31"/>
    </row>
    <row r="2024" spans="6:19" ht="62.25" customHeight="1">
      <c r="F2024" s="277">
        <v>1</v>
      </c>
      <c r="G2024" s="277" t="s">
        <v>845</v>
      </c>
      <c r="H2024" s="88" t="s">
        <v>1940</v>
      </c>
      <c r="I2024" s="28">
        <f>E613</f>
        <v>3420</v>
      </c>
      <c r="J2024" s="279" t="s">
        <v>845</v>
      </c>
      <c r="K2024" s="277">
        <f>(F2024*I2024)</f>
        <v>3420</v>
      </c>
      <c r="M2024" s="277">
        <v>1</v>
      </c>
      <c r="N2024" s="277" t="s">
        <v>845</v>
      </c>
      <c r="O2024" s="92" t="s">
        <v>1940</v>
      </c>
      <c r="P2024" s="277">
        <f>I2024</f>
        <v>3420</v>
      </c>
      <c r="Q2024" s="279" t="s">
        <v>845</v>
      </c>
      <c r="R2024" s="277">
        <f>(M2024*P2024)</f>
        <v>3420</v>
      </c>
    </row>
    <row r="2025" spans="6:19" ht="54.75" customHeight="1">
      <c r="F2025" s="40"/>
      <c r="G2025" s="38"/>
      <c r="H2025" s="289" t="s">
        <v>1939</v>
      </c>
      <c r="J2025" s="26"/>
      <c r="K2025" s="40"/>
      <c r="M2025" s="40"/>
      <c r="N2025" s="38"/>
      <c r="O2025" s="289" t="s">
        <v>1939</v>
      </c>
      <c r="P2025" s="40"/>
      <c r="Q2025" s="26"/>
      <c r="R2025" s="277"/>
    </row>
    <row r="2026" spans="6:19" ht="24" customHeight="1">
      <c r="F2026" s="40">
        <v>1</v>
      </c>
      <c r="G2026" s="38" t="s">
        <v>105</v>
      </c>
      <c r="H2026" s="26" t="s">
        <v>298</v>
      </c>
      <c r="I2026" s="28">
        <f>C10</f>
        <v>1076.5999999999999</v>
      </c>
      <c r="J2026" s="26" t="s">
        <v>105</v>
      </c>
      <c r="K2026" s="40">
        <f>(F2026*I2026)</f>
        <v>1076.5999999999999</v>
      </c>
      <c r="M2026" s="40">
        <v>1</v>
      </c>
      <c r="N2026" s="38" t="s">
        <v>105</v>
      </c>
      <c r="O2026" s="26" t="s">
        <v>298</v>
      </c>
      <c r="P2026" s="40">
        <f>I2026</f>
        <v>1076.5999999999999</v>
      </c>
      <c r="Q2026" s="26" t="s">
        <v>105</v>
      </c>
      <c r="R2026" s="277">
        <f>(M2026*P2026)</f>
        <v>1076.5999999999999</v>
      </c>
    </row>
    <row r="2027" spans="6:19" ht="24" customHeight="1">
      <c r="F2027" s="40">
        <v>2</v>
      </c>
      <c r="G2027" s="38" t="s">
        <v>105</v>
      </c>
      <c r="H2027" s="26" t="s">
        <v>1741</v>
      </c>
      <c r="I2027" s="28">
        <f>C15</f>
        <v>933.8</v>
      </c>
      <c r="J2027" s="26" t="s">
        <v>105</v>
      </c>
      <c r="K2027" s="40">
        <f>(F2027*I2027)</f>
        <v>1867.6</v>
      </c>
      <c r="M2027" s="40">
        <v>2</v>
      </c>
      <c r="N2027" s="38" t="s">
        <v>105</v>
      </c>
      <c r="O2027" s="26" t="s">
        <v>1741</v>
      </c>
      <c r="P2027" s="40">
        <f>I2027</f>
        <v>933.8</v>
      </c>
      <c r="Q2027" s="26" t="s">
        <v>105</v>
      </c>
      <c r="R2027" s="277">
        <f>(M2027*P2027)</f>
        <v>1867.6</v>
      </c>
    </row>
    <row r="2028" spans="6:19" ht="24" customHeight="1">
      <c r="F2028" s="40">
        <v>1</v>
      </c>
      <c r="G2028" s="38" t="s">
        <v>105</v>
      </c>
      <c r="H2028" s="26" t="s">
        <v>276</v>
      </c>
      <c r="I2028" s="28">
        <f>C13</f>
        <v>576.79999999999995</v>
      </c>
      <c r="J2028" s="26" t="s">
        <v>105</v>
      </c>
      <c r="K2028" s="40">
        <f>(F2028*I2028)</f>
        <v>576.79999999999995</v>
      </c>
      <c r="M2028" s="40">
        <v>1</v>
      </c>
      <c r="N2028" s="38" t="s">
        <v>105</v>
      </c>
      <c r="O2028" s="26" t="s">
        <v>276</v>
      </c>
      <c r="P2028" s="40">
        <f>I2028</f>
        <v>576.79999999999995</v>
      </c>
      <c r="Q2028" s="26" t="s">
        <v>105</v>
      </c>
      <c r="R2028" s="277">
        <f>(M2028*P2028)</f>
        <v>576.79999999999995</v>
      </c>
    </row>
    <row r="2029" spans="6:19" ht="24" customHeight="1">
      <c r="F2029" s="40"/>
      <c r="G2029" s="38"/>
      <c r="H2029" s="289" t="s">
        <v>1941</v>
      </c>
      <c r="J2029" s="26"/>
      <c r="K2029" s="40"/>
      <c r="M2029" s="40"/>
      <c r="N2029" s="38"/>
      <c r="O2029" s="289" t="s">
        <v>1941</v>
      </c>
      <c r="Q2029" s="26"/>
      <c r="R2029" s="40"/>
    </row>
    <row r="2030" spans="6:19" ht="24" customHeight="1">
      <c r="F2030" s="40">
        <v>0.5</v>
      </c>
      <c r="G2030" s="38" t="s">
        <v>105</v>
      </c>
      <c r="H2030" s="26" t="s">
        <v>1741</v>
      </c>
      <c r="I2030" s="28">
        <f>C15</f>
        <v>933.8</v>
      </c>
      <c r="J2030" s="26" t="s">
        <v>105</v>
      </c>
      <c r="K2030" s="40">
        <f>(F2030*I2030)</f>
        <v>466.9</v>
      </c>
      <c r="M2030" s="40">
        <v>0.5</v>
      </c>
      <c r="N2030" s="38" t="s">
        <v>105</v>
      </c>
      <c r="O2030" s="26" t="s">
        <v>1741</v>
      </c>
      <c r="P2030" s="40">
        <f>I2030</f>
        <v>933.8</v>
      </c>
      <c r="Q2030" s="26" t="s">
        <v>105</v>
      </c>
      <c r="R2030" s="40">
        <f>(M2030*P2030)</f>
        <v>466.9</v>
      </c>
    </row>
    <row r="2031" spans="6:19" ht="24" customHeight="1">
      <c r="F2031" s="40">
        <v>0.5</v>
      </c>
      <c r="G2031" s="38" t="s">
        <v>105</v>
      </c>
      <c r="H2031" s="26" t="s">
        <v>271</v>
      </c>
      <c r="I2031" s="28">
        <f>C12</f>
        <v>702.8</v>
      </c>
      <c r="J2031" s="26" t="s">
        <v>105</v>
      </c>
      <c r="K2031" s="40">
        <f>(F2031*I2031)</f>
        <v>351.4</v>
      </c>
      <c r="M2031" s="40">
        <v>0.5</v>
      </c>
      <c r="N2031" s="38" t="s">
        <v>105</v>
      </c>
      <c r="O2031" s="26" t="s">
        <v>271</v>
      </c>
      <c r="P2031" s="40">
        <f>I2031</f>
        <v>702.8</v>
      </c>
      <c r="Q2031" s="26" t="s">
        <v>105</v>
      </c>
      <c r="R2031" s="40">
        <f>(M2031*P2031)</f>
        <v>351.4</v>
      </c>
    </row>
    <row r="2032" spans="6:19" ht="24" customHeight="1">
      <c r="G2032" s="38" t="s">
        <v>106</v>
      </c>
      <c r="H2032" s="26" t="s">
        <v>107</v>
      </c>
      <c r="J2032" s="26" t="s">
        <v>106</v>
      </c>
      <c r="K2032" s="40">
        <v>0.7</v>
      </c>
      <c r="M2032" s="40"/>
      <c r="N2032" s="38"/>
      <c r="O2032" s="30" t="s">
        <v>1925</v>
      </c>
      <c r="P2032" s="40">
        <f>I2032</f>
        <v>0</v>
      </c>
      <c r="Q2032" s="26"/>
      <c r="R2032" s="73">
        <v>-164</v>
      </c>
    </row>
    <row r="2033" spans="6:18" ht="24" customHeight="1">
      <c r="K2033" s="35" t="s">
        <v>48</v>
      </c>
      <c r="M2033" s="40"/>
      <c r="N2033" s="38"/>
      <c r="O2033" s="30" t="s">
        <v>1926</v>
      </c>
      <c r="P2033" s="40"/>
      <c r="Q2033" s="26"/>
      <c r="R2033" s="73">
        <v>134.1</v>
      </c>
    </row>
    <row r="2034" spans="6:18" ht="24" customHeight="1">
      <c r="H2034" s="26" t="s">
        <v>830</v>
      </c>
      <c r="K2034" s="40">
        <f>SUM(K2024:K2032)</f>
        <v>7760</v>
      </c>
      <c r="N2034" s="38" t="s">
        <v>106</v>
      </c>
      <c r="O2034" s="26" t="s">
        <v>107</v>
      </c>
      <c r="Q2034" s="26" t="s">
        <v>106</v>
      </c>
      <c r="R2034" s="40">
        <v>0.7</v>
      </c>
    </row>
    <row r="2035" spans="6:18" ht="24" customHeight="1">
      <c r="H2035" s="26"/>
      <c r="N2035" s="29"/>
      <c r="Q2035" s="31"/>
      <c r="R2035" s="35" t="s">
        <v>48</v>
      </c>
    </row>
    <row r="2036" spans="6:18" ht="24" customHeight="1">
      <c r="H2036" s="26"/>
      <c r="K2036" s="35" t="s">
        <v>48</v>
      </c>
      <c r="N2036" s="29"/>
      <c r="O2036" s="26" t="s">
        <v>830</v>
      </c>
      <c r="Q2036" s="31"/>
      <c r="R2036" s="40"/>
    </row>
    <row r="2037" spans="6:18" ht="24" customHeight="1">
      <c r="H2037" s="26"/>
      <c r="M2037" s="26" t="s">
        <v>27</v>
      </c>
      <c r="N2037" s="29"/>
      <c r="Q2037" s="31"/>
      <c r="R2037" s="41">
        <f>SUM(R2024:R2036)</f>
        <v>7730.1</v>
      </c>
    </row>
    <row r="2038" spans="6:18" ht="24" customHeight="1">
      <c r="F2038" s="27" t="s">
        <v>1943</v>
      </c>
      <c r="G2038" s="38" t="s">
        <v>67</v>
      </c>
      <c r="H2038" s="26" t="s">
        <v>1944</v>
      </c>
      <c r="N2038" s="29"/>
      <c r="Q2038" s="31"/>
      <c r="R2038" s="35" t="s">
        <v>48</v>
      </c>
    </row>
    <row r="2039" spans="6:18" ht="24" customHeight="1">
      <c r="H2039" s="26" t="s">
        <v>1945</v>
      </c>
    </row>
    <row r="2040" spans="6:18" ht="24" customHeight="1">
      <c r="H2040" s="35" t="s">
        <v>48</v>
      </c>
    </row>
    <row r="2041" spans="6:18" ht="24" customHeight="1">
      <c r="G2041" s="38" t="s">
        <v>452</v>
      </c>
      <c r="H2041" s="26" t="s">
        <v>1946</v>
      </c>
    </row>
    <row r="2042" spans="6:18" ht="24" customHeight="1">
      <c r="H2042" s="26" t="s">
        <v>1947</v>
      </c>
    </row>
    <row r="2043" spans="6:18" ht="24" customHeight="1">
      <c r="H2043" s="26" t="s">
        <v>1948</v>
      </c>
    </row>
    <row r="2044" spans="6:18" ht="24" customHeight="1">
      <c r="H2044" s="26" t="s">
        <v>1949</v>
      </c>
    </row>
    <row r="2045" spans="6:18" ht="24" customHeight="1">
      <c r="H2045" s="26" t="s">
        <v>1950</v>
      </c>
    </row>
    <row r="2046" spans="6:18" ht="24" customHeight="1">
      <c r="H2046" s="26" t="s">
        <v>1951</v>
      </c>
    </row>
    <row r="2047" spans="6:18" ht="24" customHeight="1">
      <c r="H2047" s="26" t="s">
        <v>1952</v>
      </c>
    </row>
    <row r="2048" spans="6:18" ht="24" customHeight="1">
      <c r="H2048" s="35" t="s">
        <v>48</v>
      </c>
    </row>
    <row r="2049" spans="6:11" ht="24" customHeight="1">
      <c r="F2049" s="40">
        <v>3</v>
      </c>
      <c r="G2049" s="38" t="s">
        <v>244</v>
      </c>
      <c r="H2049" s="26" t="s">
        <v>1953</v>
      </c>
      <c r="I2049" s="133">
        <f>(C620)</f>
        <v>193.05</v>
      </c>
      <c r="J2049" s="26" t="s">
        <v>244</v>
      </c>
      <c r="K2049" s="40">
        <f t="shared" ref="K2049:K2055" si="225">(F2049*I2049)</f>
        <v>579.15000000000009</v>
      </c>
    </row>
    <row r="2050" spans="6:11" ht="24" customHeight="1">
      <c r="F2050" s="40">
        <v>1</v>
      </c>
      <c r="G2050" s="38" t="s">
        <v>196</v>
      </c>
      <c r="H2050" s="26" t="s">
        <v>1954</v>
      </c>
      <c r="I2050" s="73">
        <v>76</v>
      </c>
      <c r="J2050" s="26" t="s">
        <v>1083</v>
      </c>
      <c r="K2050" s="40">
        <f t="shared" si="225"/>
        <v>76</v>
      </c>
    </row>
    <row r="2051" spans="6:11" ht="24" customHeight="1">
      <c r="F2051" s="40">
        <v>1</v>
      </c>
      <c r="G2051" s="38" t="s">
        <v>196</v>
      </c>
      <c r="H2051" s="26" t="s">
        <v>1955</v>
      </c>
      <c r="I2051" s="40">
        <f>C648</f>
        <v>70</v>
      </c>
      <c r="J2051" s="26" t="s">
        <v>1083</v>
      </c>
      <c r="K2051" s="40">
        <f t="shared" si="225"/>
        <v>70</v>
      </c>
    </row>
    <row r="2052" spans="6:11" ht="24" customHeight="1">
      <c r="F2052" s="40">
        <v>1</v>
      </c>
      <c r="G2052" s="38" t="s">
        <v>196</v>
      </c>
      <c r="H2052" s="26" t="s">
        <v>1956</v>
      </c>
      <c r="I2052" s="40">
        <f>C645</f>
        <v>159.80000000000001</v>
      </c>
      <c r="J2052" s="26" t="s">
        <v>1083</v>
      </c>
      <c r="K2052" s="40">
        <f t="shared" si="225"/>
        <v>159.80000000000001</v>
      </c>
    </row>
    <row r="2053" spans="6:11" ht="24" customHeight="1">
      <c r="F2053" s="40">
        <v>0.5</v>
      </c>
      <c r="G2053" s="38" t="s">
        <v>105</v>
      </c>
      <c r="H2053" s="26" t="s">
        <v>1741</v>
      </c>
      <c r="I2053" s="40">
        <f>(C15)</f>
        <v>933.8</v>
      </c>
      <c r="J2053" s="26" t="s">
        <v>1083</v>
      </c>
      <c r="K2053" s="40">
        <f t="shared" si="225"/>
        <v>466.9</v>
      </c>
    </row>
    <row r="2054" spans="6:11" ht="24" customHeight="1">
      <c r="F2054" s="40">
        <v>0.5</v>
      </c>
      <c r="G2054" s="38" t="s">
        <v>105</v>
      </c>
      <c r="H2054" s="26" t="s">
        <v>269</v>
      </c>
      <c r="I2054" s="40">
        <f>(C11)</f>
        <v>1005.1999999999999</v>
      </c>
      <c r="J2054" s="26" t="s">
        <v>1083</v>
      </c>
      <c r="K2054" s="40">
        <f t="shared" si="225"/>
        <v>502.59999999999997</v>
      </c>
    </row>
    <row r="2055" spans="6:11" ht="24" customHeight="1">
      <c r="F2055" s="40">
        <v>0.5</v>
      </c>
      <c r="G2055" s="38" t="s">
        <v>105</v>
      </c>
      <c r="H2055" s="26" t="s">
        <v>271</v>
      </c>
      <c r="I2055" s="40">
        <f>(C12)</f>
        <v>702.8</v>
      </c>
      <c r="J2055" s="26" t="s">
        <v>1083</v>
      </c>
      <c r="K2055" s="40">
        <f t="shared" si="225"/>
        <v>351.4</v>
      </c>
    </row>
    <row r="2056" spans="6:11" ht="24" customHeight="1">
      <c r="G2056" s="38" t="s">
        <v>106</v>
      </c>
      <c r="H2056" s="26" t="s">
        <v>1957</v>
      </c>
      <c r="I2056" s="133">
        <v>2.79</v>
      </c>
      <c r="J2056" s="26" t="s">
        <v>106</v>
      </c>
      <c r="K2056" s="40">
        <v>2.79</v>
      </c>
    </row>
    <row r="2057" spans="6:11" ht="24" customHeight="1">
      <c r="H2057" s="26" t="s">
        <v>1958</v>
      </c>
    </row>
    <row r="2058" spans="6:11" ht="24" customHeight="1">
      <c r="H2058" s="26" t="s">
        <v>1959</v>
      </c>
    </row>
    <row r="2059" spans="6:11" ht="24" customHeight="1">
      <c r="H2059" s="26" t="s">
        <v>1960</v>
      </c>
      <c r="J2059" s="26" t="s">
        <v>106</v>
      </c>
      <c r="K2059" s="40">
        <v>0.12</v>
      </c>
    </row>
    <row r="2060" spans="6:11" ht="24" customHeight="1">
      <c r="K2060" s="35" t="s">
        <v>48</v>
      </c>
    </row>
    <row r="2061" spans="6:11" ht="24" customHeight="1">
      <c r="H2061" s="26" t="s">
        <v>1745</v>
      </c>
      <c r="K2061" s="40">
        <f>SUM(K2049:K2059)</f>
        <v>2208.7599999999998</v>
      </c>
    </row>
    <row r="2062" spans="6:11" ht="24" customHeight="1">
      <c r="K2062" s="35" t="s">
        <v>48</v>
      </c>
    </row>
    <row r="2063" spans="6:11" ht="24" customHeight="1">
      <c r="H2063" s="26" t="s">
        <v>665</v>
      </c>
      <c r="K2063" s="40">
        <f>(K2061/3)</f>
        <v>736.25333333333322</v>
      </c>
    </row>
    <row r="2064" spans="6:11" ht="24" customHeight="1">
      <c r="K2064" s="35" t="s">
        <v>48</v>
      </c>
    </row>
    <row r="2065" spans="6:11" ht="24" customHeight="1">
      <c r="F2065" s="27" t="s">
        <v>1961</v>
      </c>
      <c r="G2065" s="38" t="s">
        <v>1962</v>
      </c>
      <c r="H2065" s="26" t="s">
        <v>1963</v>
      </c>
    </row>
    <row r="2066" spans="6:11" ht="24" customHeight="1">
      <c r="H2066" s="26" t="s">
        <v>1964</v>
      </c>
    </row>
    <row r="2067" spans="6:11" ht="24" customHeight="1">
      <c r="H2067" s="26" t="s">
        <v>1948</v>
      </c>
    </row>
    <row r="2068" spans="6:11" ht="24" customHeight="1">
      <c r="H2068" s="26" t="s">
        <v>1965</v>
      </c>
    </row>
    <row r="2069" spans="6:11" ht="24" customHeight="1">
      <c r="H2069" s="26" t="s">
        <v>1966</v>
      </c>
    </row>
    <row r="2070" spans="6:11" ht="24" customHeight="1">
      <c r="H2070" s="26" t="s">
        <v>1951</v>
      </c>
    </row>
    <row r="2071" spans="6:11" ht="24" customHeight="1">
      <c r="H2071" s="26" t="s">
        <v>1952</v>
      </c>
    </row>
    <row r="2072" spans="6:11" ht="24" customHeight="1">
      <c r="H2072" s="35" t="s">
        <v>48</v>
      </c>
    </row>
    <row r="2073" spans="6:11" ht="24" customHeight="1">
      <c r="F2073" s="40">
        <v>3</v>
      </c>
      <c r="G2073" s="38" t="s">
        <v>244</v>
      </c>
      <c r="H2073" s="26" t="s">
        <v>1967</v>
      </c>
      <c r="I2073" s="73">
        <f>C621</f>
        <v>115.85</v>
      </c>
      <c r="J2073" s="26" t="s">
        <v>244</v>
      </c>
      <c r="K2073" s="40">
        <f t="shared" ref="K2073:K2079" si="226">(F2073*I2073)</f>
        <v>347.54999999999995</v>
      </c>
    </row>
    <row r="2074" spans="6:11" ht="24" customHeight="1">
      <c r="F2074" s="40">
        <v>1</v>
      </c>
      <c r="G2074" s="38" t="s">
        <v>196</v>
      </c>
      <c r="H2074" s="26" t="s">
        <v>1968</v>
      </c>
      <c r="I2074" s="73">
        <f>C624</f>
        <v>45</v>
      </c>
      <c r="J2074" s="26" t="s">
        <v>1083</v>
      </c>
      <c r="K2074" s="40">
        <f t="shared" si="226"/>
        <v>45</v>
      </c>
    </row>
    <row r="2075" spans="6:11" ht="24" customHeight="1">
      <c r="F2075" s="40">
        <v>1</v>
      </c>
      <c r="G2075" s="38" t="s">
        <v>196</v>
      </c>
      <c r="H2075" s="26" t="s">
        <v>1969</v>
      </c>
      <c r="I2075" s="40">
        <f>C649</f>
        <v>47.3</v>
      </c>
      <c r="J2075" s="26" t="s">
        <v>1083</v>
      </c>
      <c r="K2075" s="40">
        <f t="shared" si="226"/>
        <v>47.3</v>
      </c>
    </row>
    <row r="2076" spans="6:11" ht="24" customHeight="1">
      <c r="F2076" s="40">
        <v>1</v>
      </c>
      <c r="G2076" s="38" t="s">
        <v>196</v>
      </c>
      <c r="H2076" s="26" t="s">
        <v>1970</v>
      </c>
      <c r="I2076" s="40">
        <f>C646</f>
        <v>106.6</v>
      </c>
      <c r="J2076" s="26" t="s">
        <v>1083</v>
      </c>
      <c r="K2076" s="40">
        <f t="shared" si="226"/>
        <v>106.6</v>
      </c>
    </row>
    <row r="2077" spans="6:11" ht="24" customHeight="1">
      <c r="F2077" s="40">
        <v>0.5</v>
      </c>
      <c r="G2077" s="38" t="s">
        <v>105</v>
      </c>
      <c r="H2077" s="26" t="s">
        <v>1741</v>
      </c>
      <c r="I2077" s="40">
        <f>(C15)</f>
        <v>933.8</v>
      </c>
      <c r="J2077" s="26" t="s">
        <v>1083</v>
      </c>
      <c r="K2077" s="40">
        <f t="shared" si="226"/>
        <v>466.9</v>
      </c>
    </row>
    <row r="2078" spans="6:11" ht="24" customHeight="1">
      <c r="F2078" s="40">
        <v>0.5</v>
      </c>
      <c r="G2078" s="38" t="s">
        <v>105</v>
      </c>
      <c r="H2078" s="26" t="s">
        <v>269</v>
      </c>
      <c r="I2078" s="40">
        <f>(C11)</f>
        <v>1005.1999999999999</v>
      </c>
      <c r="J2078" s="26" t="s">
        <v>1083</v>
      </c>
      <c r="K2078" s="40">
        <f t="shared" si="226"/>
        <v>502.59999999999997</v>
      </c>
    </row>
    <row r="2079" spans="6:11" ht="24" customHeight="1">
      <c r="F2079" s="40">
        <v>0.5</v>
      </c>
      <c r="G2079" s="38" t="s">
        <v>105</v>
      </c>
      <c r="H2079" s="26" t="s">
        <v>271</v>
      </c>
      <c r="I2079" s="40">
        <f>(C12)</f>
        <v>702.8</v>
      </c>
      <c r="J2079" s="26" t="s">
        <v>1083</v>
      </c>
      <c r="K2079" s="40">
        <f t="shared" si="226"/>
        <v>351.4</v>
      </c>
    </row>
    <row r="2080" spans="6:11" ht="24" customHeight="1">
      <c r="G2080" s="38" t="s">
        <v>106</v>
      </c>
      <c r="H2080" s="26" t="s">
        <v>1957</v>
      </c>
      <c r="I2080" s="26" t="s">
        <v>27</v>
      </c>
      <c r="J2080" s="26" t="s">
        <v>106</v>
      </c>
      <c r="K2080" s="40">
        <v>2.73</v>
      </c>
    </row>
    <row r="2081" spans="6:11" ht="24" customHeight="1">
      <c r="H2081" s="26" t="s">
        <v>1958</v>
      </c>
    </row>
    <row r="2082" spans="6:11" ht="24" customHeight="1">
      <c r="H2082" s="26" t="s">
        <v>1959</v>
      </c>
    </row>
    <row r="2083" spans="6:11" ht="24" customHeight="1">
      <c r="H2083" s="26" t="s">
        <v>1960</v>
      </c>
      <c r="J2083" s="26" t="s">
        <v>106</v>
      </c>
      <c r="K2083" s="40">
        <v>0.27</v>
      </c>
    </row>
    <row r="2084" spans="6:11" ht="24" customHeight="1">
      <c r="K2084" s="35" t="s">
        <v>48</v>
      </c>
    </row>
    <row r="2085" spans="6:11" ht="24" customHeight="1">
      <c r="H2085" s="26" t="s">
        <v>1745</v>
      </c>
      <c r="K2085" s="40">
        <f>SUM(K2073:K2083)</f>
        <v>1870.35</v>
      </c>
    </row>
    <row r="2086" spans="6:11" ht="24" customHeight="1">
      <c r="K2086" s="35" t="s">
        <v>48</v>
      </c>
    </row>
    <row r="2087" spans="6:11" ht="24" customHeight="1">
      <c r="H2087" s="26" t="s">
        <v>665</v>
      </c>
      <c r="K2087" s="40">
        <f>(K2085/3)</f>
        <v>623.44999999999993</v>
      </c>
    </row>
    <row r="2088" spans="6:11" ht="24" customHeight="1">
      <c r="K2088" s="35" t="s">
        <v>48</v>
      </c>
    </row>
    <row r="2089" spans="6:11" ht="24" customHeight="1">
      <c r="F2089" s="27" t="s">
        <v>1971</v>
      </c>
      <c r="H2089" s="26" t="s">
        <v>1972</v>
      </c>
    </row>
    <row r="2090" spans="6:11" ht="24" customHeight="1">
      <c r="H2090" s="26" t="s">
        <v>1973</v>
      </c>
    </row>
    <row r="2091" spans="6:11" ht="24" customHeight="1">
      <c r="F2091" s="26" t="s">
        <v>27</v>
      </c>
      <c r="H2091" s="26" t="s">
        <v>1974</v>
      </c>
    </row>
    <row r="2092" spans="6:11" ht="24" customHeight="1">
      <c r="H2092" s="35" t="s">
        <v>48</v>
      </c>
    </row>
    <row r="2093" spans="6:11" ht="24" customHeight="1">
      <c r="F2093" s="40">
        <v>3</v>
      </c>
      <c r="G2093" s="38" t="s">
        <v>1822</v>
      </c>
      <c r="H2093" s="26" t="s">
        <v>1975</v>
      </c>
      <c r="I2093" s="73">
        <f>D620</f>
        <v>120.54</v>
      </c>
      <c r="J2093" s="26" t="s">
        <v>1822</v>
      </c>
      <c r="K2093" s="40">
        <f>(F2093*I2093)</f>
        <v>361.62</v>
      </c>
    </row>
    <row r="2094" spans="6:11" ht="24" customHeight="1">
      <c r="F2094" s="40">
        <v>1</v>
      </c>
      <c r="G2094" s="38" t="s">
        <v>1772</v>
      </c>
      <c r="H2094" s="26" t="s">
        <v>1976</v>
      </c>
      <c r="I2094" s="40">
        <f>C648</f>
        <v>70</v>
      </c>
      <c r="J2094" s="26" t="s">
        <v>1772</v>
      </c>
      <c r="K2094" s="40">
        <f>(F2094*I2094)</f>
        <v>70</v>
      </c>
    </row>
    <row r="2095" spans="6:11" ht="24" customHeight="1">
      <c r="F2095" s="40">
        <v>1</v>
      </c>
      <c r="G2095" s="38" t="s">
        <v>1772</v>
      </c>
      <c r="H2095" s="26" t="s">
        <v>1977</v>
      </c>
      <c r="I2095" s="40">
        <v>8</v>
      </c>
      <c r="J2095" s="26" t="s">
        <v>1772</v>
      </c>
      <c r="K2095" s="40">
        <f>(F2095*I2095)</f>
        <v>8</v>
      </c>
    </row>
    <row r="2096" spans="6:11" ht="24" customHeight="1">
      <c r="F2096" s="27" t="s">
        <v>1825</v>
      </c>
      <c r="H2096" s="26" t="s">
        <v>1978</v>
      </c>
      <c r="I2096" s="27" t="s">
        <v>1825</v>
      </c>
      <c r="K2096" s="40">
        <f>1.21+0.47+0.4</f>
        <v>2.08</v>
      </c>
    </row>
    <row r="2097" spans="6:11" ht="24" customHeight="1">
      <c r="K2097" s="35" t="s">
        <v>48</v>
      </c>
    </row>
    <row r="2098" spans="6:11" ht="24" customHeight="1">
      <c r="H2098" s="26" t="s">
        <v>1979</v>
      </c>
      <c r="K2098" s="40">
        <f>SUM(K2093:K2096)</f>
        <v>441.7</v>
      </c>
    </row>
    <row r="2099" spans="6:11" ht="24" customHeight="1">
      <c r="K2099" s="35" t="s">
        <v>48</v>
      </c>
    </row>
    <row r="2101" spans="6:11" ht="24" customHeight="1">
      <c r="F2101" s="27" t="s">
        <v>1980</v>
      </c>
      <c r="G2101" s="38" t="s">
        <v>67</v>
      </c>
      <c r="H2101" s="26" t="s">
        <v>1981</v>
      </c>
    </row>
    <row r="2102" spans="6:11" ht="24" customHeight="1">
      <c r="H2102" s="26" t="s">
        <v>1982</v>
      </c>
    </row>
    <row r="2103" spans="6:11" ht="24" customHeight="1">
      <c r="H2103" s="35" t="s">
        <v>48</v>
      </c>
    </row>
    <row r="2104" spans="6:11" ht="24" customHeight="1">
      <c r="F2104" s="40">
        <v>1</v>
      </c>
      <c r="G2104" s="38" t="s">
        <v>105</v>
      </c>
      <c r="H2104" s="26" t="s">
        <v>1982</v>
      </c>
      <c r="I2104" s="40">
        <f>(C266)</f>
        <v>167.1</v>
      </c>
      <c r="J2104" s="26" t="s">
        <v>105</v>
      </c>
      <c r="K2104" s="40">
        <f>(F2104*I2104)</f>
        <v>167.1</v>
      </c>
    </row>
    <row r="2105" spans="6:11" ht="24" customHeight="1">
      <c r="F2105" s="40">
        <v>0.05</v>
      </c>
      <c r="G2105" s="38" t="s">
        <v>93</v>
      </c>
      <c r="H2105" s="26" t="s">
        <v>1983</v>
      </c>
      <c r="I2105" s="40">
        <f>(R60)</f>
        <v>5588.5829999999996</v>
      </c>
      <c r="J2105" s="26" t="s">
        <v>93</v>
      </c>
      <c r="K2105" s="40">
        <f>(F2105*I2105)</f>
        <v>279.42914999999999</v>
      </c>
    </row>
    <row r="2106" spans="6:11" ht="24" customHeight="1">
      <c r="F2106" s="40">
        <v>0.5</v>
      </c>
      <c r="G2106" s="38" t="s">
        <v>105</v>
      </c>
      <c r="H2106" s="26" t="s">
        <v>1741</v>
      </c>
      <c r="I2106" s="40">
        <f>(C15)</f>
        <v>933.8</v>
      </c>
      <c r="J2106" s="26" t="s">
        <v>105</v>
      </c>
      <c r="K2106" s="40">
        <f>(F2106*I2106)</f>
        <v>466.9</v>
      </c>
    </row>
    <row r="2107" spans="6:11" ht="24" customHeight="1">
      <c r="F2107" s="40">
        <v>1</v>
      </c>
      <c r="G2107" s="38" t="s">
        <v>105</v>
      </c>
      <c r="H2107" s="26" t="s">
        <v>271</v>
      </c>
      <c r="I2107" s="40">
        <f>(C12)</f>
        <v>702.8</v>
      </c>
      <c r="J2107" s="26" t="s">
        <v>105</v>
      </c>
      <c r="K2107" s="40">
        <f>(F2107*I2107)</f>
        <v>702.8</v>
      </c>
    </row>
    <row r="2108" spans="6:11" ht="24" customHeight="1">
      <c r="F2108" s="40">
        <v>1</v>
      </c>
      <c r="G2108" s="38" t="s">
        <v>105</v>
      </c>
      <c r="H2108" s="26" t="s">
        <v>276</v>
      </c>
      <c r="I2108" s="40">
        <f>(C13)</f>
        <v>576.79999999999995</v>
      </c>
      <c r="J2108" s="26" t="s">
        <v>105</v>
      </c>
      <c r="K2108" s="40">
        <f>(F2108*I2108)</f>
        <v>576.79999999999995</v>
      </c>
    </row>
    <row r="2109" spans="6:11" ht="24" customHeight="1">
      <c r="G2109" s="38" t="s">
        <v>106</v>
      </c>
      <c r="H2109" s="26" t="s">
        <v>107</v>
      </c>
      <c r="I2109" s="26" t="s">
        <v>27</v>
      </c>
      <c r="J2109" s="26" t="s">
        <v>106</v>
      </c>
      <c r="K2109" s="40">
        <v>0.54</v>
      </c>
    </row>
    <row r="2110" spans="6:11" ht="24" customHeight="1">
      <c r="H2110" s="26" t="s">
        <v>27</v>
      </c>
      <c r="K2110" s="35" t="s">
        <v>48</v>
      </c>
    </row>
    <row r="2111" spans="6:11" ht="24" customHeight="1">
      <c r="H2111" s="26" t="s">
        <v>830</v>
      </c>
      <c r="K2111" s="40">
        <f>SUM(K2104:K2109)</f>
        <v>2193.5691499999998</v>
      </c>
    </row>
    <row r="2112" spans="6:11" ht="24" customHeight="1">
      <c r="K2112" s="35" t="s">
        <v>41</v>
      </c>
    </row>
    <row r="2113" spans="6:11" ht="24" customHeight="1">
      <c r="F2113" s="27" t="s">
        <v>1984</v>
      </c>
      <c r="G2113" s="38" t="s">
        <v>67</v>
      </c>
      <c r="H2113" s="26" t="s">
        <v>1985</v>
      </c>
    </row>
    <row r="2114" spans="6:11" ht="24" customHeight="1">
      <c r="H2114" s="26" t="s">
        <v>1986</v>
      </c>
    </row>
    <row r="2115" spans="6:11" ht="24" customHeight="1">
      <c r="H2115" s="35" t="s">
        <v>48</v>
      </c>
    </row>
    <row r="2116" spans="6:11" ht="24" customHeight="1">
      <c r="F2116" s="40">
        <v>1</v>
      </c>
      <c r="G2116" s="38" t="s">
        <v>105</v>
      </c>
      <c r="H2116" s="26" t="s">
        <v>1987</v>
      </c>
      <c r="I2116" s="40">
        <f>(D267)</f>
        <v>132.69999999999999</v>
      </c>
      <c r="J2116" s="26" t="s">
        <v>105</v>
      </c>
      <c r="K2116" s="40">
        <f>(F2116*I2116)</f>
        <v>132.69999999999999</v>
      </c>
    </row>
    <row r="2117" spans="6:11" ht="24" customHeight="1">
      <c r="G2117" s="38" t="s">
        <v>106</v>
      </c>
      <c r="H2117" s="26" t="s">
        <v>1988</v>
      </c>
      <c r="J2117" s="26" t="s">
        <v>106</v>
      </c>
      <c r="K2117" s="40">
        <v>4</v>
      </c>
    </row>
    <row r="2118" spans="6:11" ht="24" customHeight="1">
      <c r="J2118" s="26" t="s">
        <v>27</v>
      </c>
      <c r="K2118" s="35" t="s">
        <v>48</v>
      </c>
    </row>
    <row r="2119" spans="6:11" ht="24" customHeight="1">
      <c r="H2119" s="26" t="s">
        <v>830</v>
      </c>
      <c r="K2119" s="40">
        <f>SUM(K2116:K2118)</f>
        <v>136.69999999999999</v>
      </c>
    </row>
    <row r="2120" spans="6:11" ht="24" customHeight="1">
      <c r="K2120" s="35" t="s">
        <v>48</v>
      </c>
    </row>
    <row r="2121" spans="6:11" ht="24" customHeight="1">
      <c r="F2121" s="27" t="s">
        <v>1989</v>
      </c>
      <c r="G2121" s="38" t="s">
        <v>67</v>
      </c>
      <c r="H2121" s="26" t="s">
        <v>1990</v>
      </c>
    </row>
    <row r="2122" spans="6:11" ht="24" customHeight="1">
      <c r="H2122" s="26" t="s">
        <v>1991</v>
      </c>
    </row>
    <row r="2123" spans="6:11" ht="24" customHeight="1">
      <c r="H2123" s="35" t="s">
        <v>48</v>
      </c>
    </row>
    <row r="2124" spans="6:11" ht="24" customHeight="1">
      <c r="F2124" s="40">
        <v>50</v>
      </c>
      <c r="G2124" s="38" t="s">
        <v>105</v>
      </c>
      <c r="H2124" s="26" t="s">
        <v>1992</v>
      </c>
      <c r="I2124" s="48">
        <f>C204</f>
        <v>62.2</v>
      </c>
      <c r="J2124" s="26" t="s">
        <v>105</v>
      </c>
      <c r="K2124" s="40">
        <f t="shared" ref="K2124:K2133" si="227">(F2124*I2124)</f>
        <v>3110</v>
      </c>
    </row>
    <row r="2125" spans="6:11" ht="24" customHeight="1">
      <c r="F2125" s="40">
        <v>21.6</v>
      </c>
      <c r="G2125" s="38" t="s">
        <v>93</v>
      </c>
      <c r="H2125" s="26" t="s">
        <v>1993</v>
      </c>
      <c r="I2125" s="40">
        <f>(C61*2)</f>
        <v>235.2</v>
      </c>
      <c r="J2125" s="26" t="s">
        <v>93</v>
      </c>
      <c r="K2125" s="40">
        <f t="shared" si="227"/>
        <v>5080.32</v>
      </c>
    </row>
    <row r="2126" spans="6:11" ht="24" customHeight="1">
      <c r="F2126" s="40">
        <v>21.6</v>
      </c>
      <c r="G2126" s="38" t="s">
        <v>93</v>
      </c>
      <c r="H2126" s="26" t="s">
        <v>1923</v>
      </c>
      <c r="I2126" s="40">
        <f>(C26)</f>
        <v>41.019999999999996</v>
      </c>
      <c r="J2126" s="26" t="s">
        <v>93</v>
      </c>
      <c r="K2126" s="40">
        <f t="shared" si="227"/>
        <v>886.03199999999993</v>
      </c>
    </row>
    <row r="2127" spans="6:11" ht="24" customHeight="1">
      <c r="F2127" s="40">
        <v>45</v>
      </c>
      <c r="G2127" s="38" t="s">
        <v>392</v>
      </c>
      <c r="H2127" s="26" t="s">
        <v>85</v>
      </c>
      <c r="I2127" s="40">
        <f>(C67/1000)</f>
        <v>5.8</v>
      </c>
      <c r="J2127" s="26" t="s">
        <v>392</v>
      </c>
      <c r="K2127" s="40">
        <f t="shared" si="227"/>
        <v>261</v>
      </c>
    </row>
    <row r="2128" spans="6:11" ht="24" customHeight="1">
      <c r="F2128" s="40">
        <v>0.04</v>
      </c>
      <c r="G2128" s="38" t="s">
        <v>93</v>
      </c>
      <c r="H2128" s="26" t="s">
        <v>94</v>
      </c>
      <c r="I2128" s="40">
        <f>(C78)</f>
        <v>2765.84</v>
      </c>
      <c r="J2128" s="26" t="s">
        <v>93</v>
      </c>
      <c r="K2128" s="40">
        <f t="shared" si="227"/>
        <v>110.6336</v>
      </c>
    </row>
    <row r="2129" spans="6:11" ht="24" customHeight="1">
      <c r="F2129" s="40">
        <v>3.63</v>
      </c>
      <c r="G2129" s="38" t="s">
        <v>392</v>
      </c>
      <c r="H2129" s="26" t="s">
        <v>1994</v>
      </c>
      <c r="I2129" s="40">
        <f>(C607)</f>
        <v>11.6</v>
      </c>
      <c r="J2129" s="26" t="s">
        <v>392</v>
      </c>
      <c r="K2129" s="40">
        <f t="shared" si="227"/>
        <v>42.107999999999997</v>
      </c>
    </row>
    <row r="2130" spans="6:11" ht="24" customHeight="1">
      <c r="F2130" s="40">
        <v>2</v>
      </c>
      <c r="G2130" s="38" t="s">
        <v>105</v>
      </c>
      <c r="H2130" s="26" t="s">
        <v>298</v>
      </c>
      <c r="I2130" s="40">
        <f>(C10)</f>
        <v>1076.5999999999999</v>
      </c>
      <c r="J2130" s="26" t="s">
        <v>105</v>
      </c>
      <c r="K2130" s="40">
        <f t="shared" si="227"/>
        <v>2153.1999999999998</v>
      </c>
    </row>
    <row r="2131" spans="6:11" ht="24" customHeight="1">
      <c r="F2131" s="40">
        <v>1</v>
      </c>
      <c r="G2131" s="38" t="s">
        <v>105</v>
      </c>
      <c r="H2131" s="26" t="s">
        <v>1995</v>
      </c>
      <c r="I2131" s="40">
        <f>AG37</f>
        <v>905.8</v>
      </c>
      <c r="J2131" s="26" t="s">
        <v>105</v>
      </c>
      <c r="K2131" s="40">
        <f t="shared" si="227"/>
        <v>905.8</v>
      </c>
    </row>
    <row r="2132" spans="6:11" ht="24" customHeight="1">
      <c r="F2132" s="40">
        <v>5</v>
      </c>
      <c r="G2132" s="38" t="s">
        <v>105</v>
      </c>
      <c r="H2132" s="26" t="s">
        <v>271</v>
      </c>
      <c r="I2132" s="40">
        <f>(C12)</f>
        <v>702.8</v>
      </c>
      <c r="J2132" s="26" t="s">
        <v>105</v>
      </c>
      <c r="K2132" s="40">
        <f t="shared" si="227"/>
        <v>3514</v>
      </c>
    </row>
    <row r="2133" spans="6:11" ht="24" customHeight="1">
      <c r="F2133" s="40">
        <v>2</v>
      </c>
      <c r="G2133" s="38" t="s">
        <v>105</v>
      </c>
      <c r="H2133" s="26" t="s">
        <v>276</v>
      </c>
      <c r="I2133" s="40">
        <f>(C13)</f>
        <v>576.79999999999995</v>
      </c>
      <c r="J2133" s="26" t="s">
        <v>105</v>
      </c>
      <c r="K2133" s="40">
        <f t="shared" si="227"/>
        <v>1153.5999999999999</v>
      </c>
    </row>
    <row r="2134" spans="6:11" ht="24" customHeight="1">
      <c r="G2134" s="38" t="s">
        <v>106</v>
      </c>
      <c r="H2134" s="26" t="s">
        <v>1996</v>
      </c>
      <c r="J2134" s="26" t="s">
        <v>106</v>
      </c>
      <c r="K2134" s="40">
        <f>SUM(K2130:K2133)/10+7.5</f>
        <v>780.16000000000008</v>
      </c>
    </row>
    <row r="2135" spans="6:11" ht="24" customHeight="1">
      <c r="K2135" s="35" t="s">
        <v>48</v>
      </c>
    </row>
    <row r="2136" spans="6:11" ht="24" customHeight="1">
      <c r="H2136" s="26" t="s">
        <v>1997</v>
      </c>
      <c r="K2136" s="40">
        <f>SUM(K2124:K2134)</f>
        <v>17996.853599999995</v>
      </c>
    </row>
    <row r="2137" spans="6:11" ht="24" customHeight="1">
      <c r="K2137" s="35" t="s">
        <v>48</v>
      </c>
    </row>
    <row r="2138" spans="6:11" ht="24" customHeight="1">
      <c r="H2138" s="26" t="s">
        <v>1998</v>
      </c>
      <c r="K2138" s="40">
        <f>(K2136/30)</f>
        <v>599.89511999999979</v>
      </c>
    </row>
    <row r="2139" spans="6:11" ht="24" customHeight="1">
      <c r="K2139" s="35" t="s">
        <v>41</v>
      </c>
    </row>
    <row r="2141" spans="6:11" ht="24" customHeight="1">
      <c r="F2141" s="27" t="s">
        <v>1999</v>
      </c>
      <c r="G2141" s="38" t="s">
        <v>67</v>
      </c>
      <c r="H2141" s="26" t="s">
        <v>2000</v>
      </c>
    </row>
    <row r="2142" spans="6:11" ht="24" customHeight="1">
      <c r="H2142" s="26" t="s">
        <v>1991</v>
      </c>
    </row>
    <row r="2143" spans="6:11" ht="24" customHeight="1">
      <c r="H2143" s="35" t="s">
        <v>48</v>
      </c>
    </row>
    <row r="2144" spans="6:11" ht="24" customHeight="1">
      <c r="F2144" s="40">
        <v>50</v>
      </c>
      <c r="G2144" s="38" t="s">
        <v>105</v>
      </c>
      <c r="H2144" s="26" t="s">
        <v>2001</v>
      </c>
      <c r="I2144" s="48">
        <f>C205</f>
        <v>100</v>
      </c>
      <c r="J2144" s="26" t="s">
        <v>105</v>
      </c>
      <c r="K2144" s="40">
        <f t="shared" ref="K2144:K2153" si="228">(F2144*I2144)</f>
        <v>5000</v>
      </c>
    </row>
    <row r="2145" spans="6:18" ht="24" customHeight="1">
      <c r="F2145" s="40">
        <v>21.6</v>
      </c>
      <c r="G2145" s="38" t="s">
        <v>93</v>
      </c>
      <c r="H2145" s="26" t="s">
        <v>1993</v>
      </c>
      <c r="I2145" s="40">
        <f>(C61*2)</f>
        <v>235.2</v>
      </c>
      <c r="J2145" s="26" t="s">
        <v>93</v>
      </c>
      <c r="K2145" s="40">
        <f t="shared" si="228"/>
        <v>5080.32</v>
      </c>
    </row>
    <row r="2146" spans="6:18" ht="24" customHeight="1">
      <c r="F2146" s="40">
        <v>21.6</v>
      </c>
      <c r="G2146" s="38" t="s">
        <v>93</v>
      </c>
      <c r="H2146" s="26" t="s">
        <v>1923</v>
      </c>
      <c r="I2146" s="40">
        <f>(C26)</f>
        <v>41.019999999999996</v>
      </c>
      <c r="J2146" s="26" t="s">
        <v>93</v>
      </c>
      <c r="K2146" s="40">
        <f t="shared" si="228"/>
        <v>886.03199999999993</v>
      </c>
    </row>
    <row r="2147" spans="6:18" ht="24" customHeight="1">
      <c r="F2147" s="40">
        <v>68</v>
      </c>
      <c r="G2147" s="38" t="s">
        <v>392</v>
      </c>
      <c r="H2147" s="26" t="s">
        <v>85</v>
      </c>
      <c r="I2147" s="40">
        <f>(C67/1000)</f>
        <v>5.8</v>
      </c>
      <c r="J2147" s="26" t="s">
        <v>392</v>
      </c>
      <c r="K2147" s="40">
        <f t="shared" si="228"/>
        <v>394.4</v>
      </c>
    </row>
    <row r="2148" spans="6:18" ht="24" customHeight="1">
      <c r="F2148" s="40">
        <v>7.0000000000000007E-2</v>
      </c>
      <c r="G2148" s="38" t="s">
        <v>93</v>
      </c>
      <c r="H2148" s="26" t="s">
        <v>94</v>
      </c>
      <c r="I2148" s="40">
        <f>(C78)</f>
        <v>2765.84</v>
      </c>
      <c r="J2148" s="26" t="s">
        <v>93</v>
      </c>
      <c r="K2148" s="40">
        <f t="shared" si="228"/>
        <v>193.60880000000003</v>
      </c>
      <c r="M2148" s="27" t="s">
        <v>1999</v>
      </c>
      <c r="N2148" s="38" t="s">
        <v>67</v>
      </c>
      <c r="O2148" s="26" t="s">
        <v>2002</v>
      </c>
      <c r="Q2148" s="31"/>
    </row>
    <row r="2149" spans="6:18" ht="24" customHeight="1">
      <c r="F2149" s="40">
        <v>5.45</v>
      </c>
      <c r="G2149" s="38" t="s">
        <v>392</v>
      </c>
      <c r="H2149" s="26" t="s">
        <v>1994</v>
      </c>
      <c r="I2149" s="40">
        <f>(C607)</f>
        <v>11.6</v>
      </c>
      <c r="J2149" s="26" t="s">
        <v>392</v>
      </c>
      <c r="K2149" s="40">
        <f t="shared" si="228"/>
        <v>63.22</v>
      </c>
      <c r="N2149" s="29"/>
      <c r="O2149" s="26" t="s">
        <v>1991</v>
      </c>
      <c r="Q2149" s="31"/>
    </row>
    <row r="2150" spans="6:18" ht="24" customHeight="1">
      <c r="F2150" s="40">
        <v>3</v>
      </c>
      <c r="G2150" s="38" t="s">
        <v>105</v>
      </c>
      <c r="H2150" s="26" t="s">
        <v>298</v>
      </c>
      <c r="I2150" s="40">
        <f>(C10)</f>
        <v>1076.5999999999999</v>
      </c>
      <c r="J2150" s="26" t="s">
        <v>105</v>
      </c>
      <c r="K2150" s="40">
        <f t="shared" si="228"/>
        <v>3229.7999999999997</v>
      </c>
      <c r="N2150" s="29"/>
      <c r="O2150" s="35" t="s">
        <v>48</v>
      </c>
      <c r="Q2150" s="31"/>
    </row>
    <row r="2151" spans="6:18" ht="39" customHeight="1">
      <c r="F2151" s="40">
        <v>2</v>
      </c>
      <c r="G2151" s="38" t="s">
        <v>105</v>
      </c>
      <c r="H2151" s="26" t="s">
        <v>1995</v>
      </c>
      <c r="I2151" s="40">
        <f>AG37</f>
        <v>905.8</v>
      </c>
      <c r="J2151" s="26" t="s">
        <v>105</v>
      </c>
      <c r="K2151" s="40">
        <f t="shared" si="228"/>
        <v>1811.6</v>
      </c>
      <c r="M2151" s="40">
        <v>50</v>
      </c>
      <c r="N2151" s="38" t="s">
        <v>105</v>
      </c>
      <c r="O2151" s="88" t="s">
        <v>2003</v>
      </c>
      <c r="P2151" s="290">
        <v>412</v>
      </c>
      <c r="Q2151" s="26" t="s">
        <v>105</v>
      </c>
      <c r="R2151" s="40">
        <f t="shared" ref="R2151:R2160" si="229">(M2151*P2151)</f>
        <v>20600</v>
      </c>
    </row>
    <row r="2152" spans="6:18" ht="24" customHeight="1">
      <c r="F2152" s="40">
        <v>6</v>
      </c>
      <c r="G2152" s="38" t="s">
        <v>105</v>
      </c>
      <c r="H2152" s="26" t="s">
        <v>271</v>
      </c>
      <c r="I2152" s="40">
        <f>(C12)</f>
        <v>702.8</v>
      </c>
      <c r="J2152" s="26" t="s">
        <v>105</v>
      </c>
      <c r="K2152" s="40">
        <f t="shared" si="228"/>
        <v>4216.7999999999993</v>
      </c>
      <c r="M2152" s="40">
        <v>21.6</v>
      </c>
      <c r="N2152" s="38" t="s">
        <v>93</v>
      </c>
      <c r="O2152" s="26" t="s">
        <v>1993</v>
      </c>
      <c r="P2152" s="40">
        <f>I2145</f>
        <v>235.2</v>
      </c>
      <c r="Q2152" s="26" t="s">
        <v>93</v>
      </c>
      <c r="R2152" s="40">
        <f t="shared" si="229"/>
        <v>5080.32</v>
      </c>
    </row>
    <row r="2153" spans="6:18" ht="24" customHeight="1">
      <c r="F2153" s="40">
        <v>3</v>
      </c>
      <c r="G2153" s="38" t="s">
        <v>105</v>
      </c>
      <c r="H2153" s="26" t="s">
        <v>276</v>
      </c>
      <c r="I2153" s="40">
        <f>(C13)</f>
        <v>576.79999999999995</v>
      </c>
      <c r="J2153" s="26" t="s">
        <v>105</v>
      </c>
      <c r="K2153" s="40">
        <f t="shared" si="228"/>
        <v>1730.3999999999999</v>
      </c>
      <c r="M2153" s="40">
        <v>21.6</v>
      </c>
      <c r="N2153" s="38" t="s">
        <v>93</v>
      </c>
      <c r="O2153" s="26" t="s">
        <v>1923</v>
      </c>
      <c r="P2153" s="40">
        <f t="shared" ref="P2153:P2160" si="230">I2146</f>
        <v>41.019999999999996</v>
      </c>
      <c r="Q2153" s="26" t="s">
        <v>93</v>
      </c>
      <c r="R2153" s="40">
        <f t="shared" si="229"/>
        <v>886.03199999999993</v>
      </c>
    </row>
    <row r="2154" spans="6:18" ht="24" customHeight="1">
      <c r="G2154" s="38" t="s">
        <v>106</v>
      </c>
      <c r="H2154" s="26" t="s">
        <v>1996</v>
      </c>
      <c r="J2154" s="26" t="s">
        <v>106</v>
      </c>
      <c r="K2154" s="40">
        <f>SUM(K2150:K2153)/10+4.8</f>
        <v>1103.6599999999999</v>
      </c>
      <c r="M2154" s="40">
        <v>115</v>
      </c>
      <c r="N2154" s="38" t="s">
        <v>392</v>
      </c>
      <c r="O2154" s="26" t="s">
        <v>85</v>
      </c>
      <c r="P2154" s="40">
        <f t="shared" si="230"/>
        <v>5.8</v>
      </c>
      <c r="Q2154" s="26" t="s">
        <v>392</v>
      </c>
      <c r="R2154" s="40">
        <f t="shared" si="229"/>
        <v>667</v>
      </c>
    </row>
    <row r="2155" spans="6:18" ht="24" customHeight="1">
      <c r="K2155" s="35" t="s">
        <v>48</v>
      </c>
      <c r="M2155" s="40">
        <v>0.11</v>
      </c>
      <c r="N2155" s="38" t="s">
        <v>93</v>
      </c>
      <c r="O2155" s="26" t="s">
        <v>94</v>
      </c>
      <c r="P2155" s="40">
        <f t="shared" si="230"/>
        <v>2765.84</v>
      </c>
      <c r="Q2155" s="26" t="s">
        <v>93</v>
      </c>
      <c r="R2155" s="40">
        <f t="shared" si="229"/>
        <v>304.24240000000003</v>
      </c>
    </row>
    <row r="2156" spans="6:18" ht="24" customHeight="1">
      <c r="H2156" s="26" t="s">
        <v>1997</v>
      </c>
      <c r="K2156" s="40">
        <f>SUM(K2144:K2154)</f>
        <v>23709.840799999998</v>
      </c>
      <c r="M2156" s="40">
        <v>8.35</v>
      </c>
      <c r="N2156" s="38" t="s">
        <v>392</v>
      </c>
      <c r="O2156" s="26" t="s">
        <v>1994</v>
      </c>
      <c r="P2156" s="40">
        <f t="shared" si="230"/>
        <v>11.6</v>
      </c>
      <c r="Q2156" s="26" t="s">
        <v>392</v>
      </c>
      <c r="R2156" s="40">
        <f t="shared" si="229"/>
        <v>96.86</v>
      </c>
    </row>
    <row r="2157" spans="6:18" ht="24" customHeight="1">
      <c r="K2157" s="35" t="s">
        <v>48</v>
      </c>
      <c r="M2157" s="40">
        <v>5</v>
      </c>
      <c r="N2157" s="38" t="s">
        <v>105</v>
      </c>
      <c r="O2157" s="26" t="s">
        <v>298</v>
      </c>
      <c r="P2157" s="40">
        <f t="shared" si="230"/>
        <v>1076.5999999999999</v>
      </c>
      <c r="Q2157" s="26" t="s">
        <v>105</v>
      </c>
      <c r="R2157" s="40">
        <f t="shared" si="229"/>
        <v>5383</v>
      </c>
    </row>
    <row r="2158" spans="6:18" ht="24" customHeight="1">
      <c r="H2158" s="26" t="s">
        <v>1998</v>
      </c>
      <c r="K2158" s="40">
        <f>(K2156/30)</f>
        <v>790.32802666666657</v>
      </c>
      <c r="M2158" s="40">
        <v>3</v>
      </c>
      <c r="N2158" s="38" t="s">
        <v>105</v>
      </c>
      <c r="O2158" s="26" t="s">
        <v>1995</v>
      </c>
      <c r="P2158" s="40">
        <f t="shared" si="230"/>
        <v>905.8</v>
      </c>
      <c r="Q2158" s="26" t="s">
        <v>105</v>
      </c>
      <c r="R2158" s="40">
        <f t="shared" si="229"/>
        <v>2717.3999999999996</v>
      </c>
    </row>
    <row r="2159" spans="6:18" ht="24" customHeight="1">
      <c r="K2159" s="35" t="s">
        <v>41</v>
      </c>
      <c r="M2159" s="40">
        <v>7</v>
      </c>
      <c r="N2159" s="38" t="s">
        <v>105</v>
      </c>
      <c r="O2159" s="26" t="s">
        <v>271</v>
      </c>
      <c r="P2159" s="40">
        <f t="shared" si="230"/>
        <v>702.8</v>
      </c>
      <c r="Q2159" s="26" t="s">
        <v>105</v>
      </c>
      <c r="R2159" s="40">
        <f t="shared" si="229"/>
        <v>4919.5999999999995</v>
      </c>
    </row>
    <row r="2160" spans="6:18" ht="24" customHeight="1">
      <c r="F2160" s="27" t="s">
        <v>2004</v>
      </c>
      <c r="G2160" s="38" t="s">
        <v>67</v>
      </c>
      <c r="H2160" s="26" t="s">
        <v>1990</v>
      </c>
      <c r="M2160" s="40">
        <v>5</v>
      </c>
      <c r="N2160" s="38" t="s">
        <v>105</v>
      </c>
      <c r="O2160" s="26" t="s">
        <v>276</v>
      </c>
      <c r="P2160" s="40">
        <f t="shared" si="230"/>
        <v>576.79999999999995</v>
      </c>
      <c r="Q2160" s="26" t="s">
        <v>105</v>
      </c>
      <c r="R2160" s="40">
        <f t="shared" si="229"/>
        <v>2884</v>
      </c>
    </row>
    <row r="2161" spans="6:18" ht="24" customHeight="1">
      <c r="H2161" s="26" t="s">
        <v>2005</v>
      </c>
      <c r="N2161" s="38" t="s">
        <v>106</v>
      </c>
      <c r="O2161" s="26" t="s">
        <v>1996</v>
      </c>
      <c r="Q2161" s="26" t="s">
        <v>106</v>
      </c>
      <c r="R2161" s="40">
        <v>234</v>
      </c>
    </row>
    <row r="2162" spans="6:18" ht="24" customHeight="1">
      <c r="H2162" s="35" t="s">
        <v>48</v>
      </c>
      <c r="N2162" s="29"/>
      <c r="Q2162" s="31"/>
      <c r="R2162" s="35" t="s">
        <v>48</v>
      </c>
    </row>
    <row r="2163" spans="6:18" ht="24" customHeight="1">
      <c r="F2163" s="40">
        <v>50</v>
      </c>
      <c r="G2163" s="38" t="s">
        <v>105</v>
      </c>
      <c r="H2163" s="26" t="s">
        <v>2006</v>
      </c>
      <c r="I2163" s="40">
        <f>C204</f>
        <v>62.2</v>
      </c>
      <c r="J2163" s="26" t="s">
        <v>105</v>
      </c>
      <c r="K2163" s="40">
        <f>(F2163*I2163)</f>
        <v>3110</v>
      </c>
      <c r="N2163" s="29"/>
      <c r="O2163" s="26" t="s">
        <v>1997</v>
      </c>
      <c r="Q2163" s="31"/>
      <c r="R2163" s="40">
        <f>SUM(R2151:R2161)</f>
        <v>43772.454400000002</v>
      </c>
    </row>
    <row r="2164" spans="6:18" ht="24" customHeight="1">
      <c r="F2164" s="40">
        <v>1</v>
      </c>
      <c r="G2164" s="38" t="s">
        <v>105</v>
      </c>
      <c r="H2164" s="26" t="s">
        <v>1995</v>
      </c>
      <c r="I2164" s="40">
        <f>AG37</f>
        <v>905.8</v>
      </c>
      <c r="J2164" s="26" t="s">
        <v>105</v>
      </c>
      <c r="K2164" s="40">
        <f>(F2164*I2164)</f>
        <v>905.8</v>
      </c>
      <c r="N2164" s="29"/>
      <c r="Q2164" s="31"/>
      <c r="R2164" s="35" t="s">
        <v>48</v>
      </c>
    </row>
    <row r="2165" spans="6:18" ht="24" customHeight="1">
      <c r="F2165" s="40">
        <v>5</v>
      </c>
      <c r="G2165" s="38" t="s">
        <v>105</v>
      </c>
      <c r="H2165" s="26" t="s">
        <v>271</v>
      </c>
      <c r="I2165" s="40">
        <f>C12</f>
        <v>702.8</v>
      </c>
      <c r="J2165" s="26" t="s">
        <v>105</v>
      </c>
      <c r="K2165" s="40">
        <f>(F2165*I2165)</f>
        <v>3514</v>
      </c>
      <c r="N2165" s="29"/>
      <c r="O2165" s="26" t="s">
        <v>1998</v>
      </c>
      <c r="Q2165" s="31"/>
      <c r="R2165" s="40">
        <f>(R2163/30)</f>
        <v>1459.0818133333335</v>
      </c>
    </row>
    <row r="2166" spans="6:18" ht="24" customHeight="1">
      <c r="H2166" s="26" t="s">
        <v>1236</v>
      </c>
      <c r="K2166" s="138">
        <v>1.8</v>
      </c>
      <c r="N2166" s="29"/>
      <c r="Q2166" s="31"/>
      <c r="R2166" s="35" t="s">
        <v>41</v>
      </c>
    </row>
    <row r="2167" spans="6:18" ht="24" customHeight="1">
      <c r="H2167" s="26" t="s">
        <v>1997</v>
      </c>
      <c r="K2167" s="40">
        <f>SUM(K2163:K2166)</f>
        <v>7531.6</v>
      </c>
    </row>
    <row r="2168" spans="6:18" ht="24" customHeight="1">
      <c r="F2168" s="26" t="s">
        <v>27</v>
      </c>
      <c r="K2168" s="35" t="s">
        <v>48</v>
      </c>
    </row>
    <row r="2169" spans="6:18" ht="24" customHeight="1">
      <c r="H2169" s="26" t="s">
        <v>1998</v>
      </c>
      <c r="K2169" s="40">
        <f>(K2167/30)</f>
        <v>251.05333333333334</v>
      </c>
    </row>
    <row r="2170" spans="6:18" ht="24" customHeight="1">
      <c r="F2170" s="26" t="s">
        <v>27</v>
      </c>
    </row>
    <row r="2171" spans="6:18" ht="24" customHeight="1">
      <c r="F2171" s="26" t="s">
        <v>27</v>
      </c>
    </row>
    <row r="2172" spans="6:18" ht="24" customHeight="1">
      <c r="K2172" s="35" t="s">
        <v>41</v>
      </c>
    </row>
    <row r="2173" spans="6:18" ht="24" customHeight="1">
      <c r="F2173" s="27" t="s">
        <v>1999</v>
      </c>
      <c r="G2173" s="38" t="s">
        <v>67</v>
      </c>
      <c r="H2173" s="26" t="s">
        <v>2000</v>
      </c>
    </row>
    <row r="2174" spans="6:18" ht="24" customHeight="1">
      <c r="H2174" s="40" t="str">
        <f>H2161</f>
        <v>DIA S.W.PIPE(LOOSE JOINTING)</v>
      </c>
    </row>
    <row r="2175" spans="6:18" ht="24" customHeight="1">
      <c r="H2175" s="35" t="s">
        <v>48</v>
      </c>
    </row>
    <row r="2176" spans="6:18" ht="24" customHeight="1">
      <c r="F2176" s="40">
        <v>50</v>
      </c>
      <c r="G2176" s="38" t="s">
        <v>105</v>
      </c>
      <c r="H2176" s="26" t="s">
        <v>2007</v>
      </c>
      <c r="I2176" s="40">
        <f>C205</f>
        <v>100</v>
      </c>
      <c r="J2176" s="26" t="s">
        <v>105</v>
      </c>
      <c r="K2176" s="40">
        <f>(F2176*I2176)</f>
        <v>5000</v>
      </c>
    </row>
    <row r="2177" spans="6:11" ht="24" customHeight="1">
      <c r="F2177" s="40">
        <v>2</v>
      </c>
      <c r="G2177" s="38" t="s">
        <v>105</v>
      </c>
      <c r="H2177" s="26" t="s">
        <v>1995</v>
      </c>
      <c r="I2177" s="40">
        <f>AG37</f>
        <v>905.8</v>
      </c>
      <c r="J2177" s="26" t="s">
        <v>105</v>
      </c>
      <c r="K2177" s="40">
        <f>(F2177*I2177)</f>
        <v>1811.6</v>
      </c>
    </row>
    <row r="2178" spans="6:11" ht="24" customHeight="1">
      <c r="F2178" s="40">
        <v>6</v>
      </c>
      <c r="G2178" s="38" t="s">
        <v>105</v>
      </c>
      <c r="H2178" s="26" t="s">
        <v>271</v>
      </c>
      <c r="I2178" s="40">
        <f>C12</f>
        <v>702.8</v>
      </c>
      <c r="J2178" s="26" t="s">
        <v>105</v>
      </c>
      <c r="K2178" s="40">
        <f>(F2178*I2178)</f>
        <v>4216.7999999999993</v>
      </c>
    </row>
    <row r="2179" spans="6:11" ht="24" customHeight="1">
      <c r="H2179" s="26" t="s">
        <v>1236</v>
      </c>
      <c r="K2179" s="138">
        <v>0.6</v>
      </c>
    </row>
    <row r="2180" spans="6:11" ht="24" customHeight="1">
      <c r="H2180" s="26" t="s">
        <v>1997</v>
      </c>
      <c r="K2180" s="40">
        <f>SUM(K2176:K2179)</f>
        <v>11029</v>
      </c>
    </row>
    <row r="2181" spans="6:11" ht="24" customHeight="1">
      <c r="K2181" s="35" t="s">
        <v>48</v>
      </c>
    </row>
    <row r="2182" spans="6:11" ht="24" customHeight="1">
      <c r="H2182" s="26" t="s">
        <v>1998</v>
      </c>
      <c r="K2182" s="40">
        <f>(K2180/30)</f>
        <v>367.63333333333333</v>
      </c>
    </row>
    <row r="2183" spans="6:11" ht="24" customHeight="1">
      <c r="K2183" s="35" t="s">
        <v>41</v>
      </c>
    </row>
    <row r="2184" spans="6:11" ht="24" customHeight="1">
      <c r="H2184" s="27" t="s">
        <v>2008</v>
      </c>
      <c r="K2184" s="40">
        <f>SUM(K2181:K2182)</f>
        <v>367.63333333333333</v>
      </c>
    </row>
    <row r="2185" spans="6:11" ht="24" customHeight="1">
      <c r="K2185" s="35" t="s">
        <v>41</v>
      </c>
    </row>
    <row r="2186" spans="6:11" ht="24" customHeight="1">
      <c r="F2186" s="27" t="s">
        <v>2009</v>
      </c>
      <c r="G2186" s="38" t="s">
        <v>67</v>
      </c>
      <c r="H2186" s="26" t="s">
        <v>1990</v>
      </c>
    </row>
    <row r="2187" spans="6:11" ht="24" customHeight="1">
      <c r="H2187" s="26" t="s">
        <v>2010</v>
      </c>
    </row>
    <row r="2188" spans="6:11" ht="24" customHeight="1">
      <c r="H2188" s="35" t="s">
        <v>48</v>
      </c>
    </row>
    <row r="2189" spans="6:11" ht="24" customHeight="1">
      <c r="F2189" s="40">
        <v>1</v>
      </c>
      <c r="G2189" s="38" t="s">
        <v>105</v>
      </c>
      <c r="H2189" s="26" t="s">
        <v>2011</v>
      </c>
      <c r="I2189" s="40">
        <f>C206</f>
        <v>99.6</v>
      </c>
      <c r="J2189" s="26" t="s">
        <v>105</v>
      </c>
      <c r="K2189" s="40">
        <f>(F2189*I2189)</f>
        <v>99.6</v>
      </c>
    </row>
    <row r="2190" spans="6:11" ht="24" customHeight="1">
      <c r="F2190" s="26" t="s">
        <v>27</v>
      </c>
      <c r="H2190" s="26" t="s">
        <v>2012</v>
      </c>
    </row>
    <row r="2191" spans="6:11" ht="24" customHeight="1">
      <c r="F2191" s="26" t="s">
        <v>27</v>
      </c>
      <c r="H2191" s="26" t="s">
        <v>2013</v>
      </c>
      <c r="I2191" s="27" t="s">
        <v>106</v>
      </c>
      <c r="K2191" s="40">
        <v>2.5</v>
      </c>
    </row>
    <row r="2192" spans="6:11" ht="24" customHeight="1">
      <c r="K2192" s="35" t="s">
        <v>48</v>
      </c>
    </row>
    <row r="2193" spans="6:11" ht="24" customHeight="1">
      <c r="H2193" s="26" t="s">
        <v>1997</v>
      </c>
      <c r="K2193" s="40">
        <f>SUM(K2189:K2191)</f>
        <v>102.1</v>
      </c>
    </row>
    <row r="2194" spans="6:11" ht="24" customHeight="1">
      <c r="F2194" s="27" t="s">
        <v>2009</v>
      </c>
      <c r="G2194" s="38" t="s">
        <v>67</v>
      </c>
      <c r="H2194" s="26" t="s">
        <v>2000</v>
      </c>
      <c r="K2194" s="35" t="s">
        <v>48</v>
      </c>
    </row>
    <row r="2195" spans="6:11" ht="24" customHeight="1">
      <c r="H2195" s="26" t="s">
        <v>2010</v>
      </c>
      <c r="K2195" s="40"/>
    </row>
    <row r="2196" spans="6:11" ht="24" customHeight="1">
      <c r="H2196" s="35" t="s">
        <v>48</v>
      </c>
      <c r="K2196" s="35" t="s">
        <v>48</v>
      </c>
    </row>
    <row r="2197" spans="6:11" ht="24" customHeight="1">
      <c r="F2197" s="28">
        <v>1</v>
      </c>
      <c r="G2197" s="29" t="s">
        <v>196</v>
      </c>
      <c r="H2197" s="26" t="s">
        <v>2014</v>
      </c>
      <c r="J2197" s="31">
        <f>E206</f>
        <v>138</v>
      </c>
      <c r="K2197" s="40">
        <f>J2197</f>
        <v>138</v>
      </c>
    </row>
    <row r="2198" spans="6:11" ht="24" customHeight="1">
      <c r="H2198" s="26" t="s">
        <v>2013</v>
      </c>
      <c r="I2198" s="27" t="s">
        <v>106</v>
      </c>
      <c r="K2198" s="40">
        <v>2.5</v>
      </c>
    </row>
    <row r="2199" spans="6:11" ht="24" customHeight="1">
      <c r="F2199" s="27" t="s">
        <v>2015</v>
      </c>
      <c r="G2199" s="38" t="s">
        <v>67</v>
      </c>
      <c r="H2199" s="30" t="s">
        <v>1990</v>
      </c>
      <c r="K2199" s="35" t="s">
        <v>48</v>
      </c>
    </row>
    <row r="2200" spans="6:11" ht="24" customHeight="1">
      <c r="H2200" s="30" t="s">
        <v>2016</v>
      </c>
      <c r="K2200" s="40">
        <f>SUM(K2196:K2198)</f>
        <v>140.5</v>
      </c>
    </row>
    <row r="2201" spans="6:11" ht="24" customHeight="1">
      <c r="H2201" s="35" t="s">
        <v>48</v>
      </c>
      <c r="K2201" s="35" t="s">
        <v>48</v>
      </c>
    </row>
    <row r="2202" spans="6:11" ht="24" customHeight="1">
      <c r="F2202" s="40">
        <v>1</v>
      </c>
      <c r="G2202" s="38" t="s">
        <v>105</v>
      </c>
      <c r="H2202" s="26" t="s">
        <v>2017</v>
      </c>
      <c r="I2202" s="40">
        <f>C203</f>
        <v>125.6</v>
      </c>
      <c r="J2202" s="26" t="s">
        <v>105</v>
      </c>
      <c r="K2202" s="40">
        <f>(F2202*I2202)</f>
        <v>125.6</v>
      </c>
    </row>
    <row r="2203" spans="6:11" ht="24" customHeight="1">
      <c r="F2203" s="26" t="s">
        <v>27</v>
      </c>
      <c r="H2203" s="26" t="s">
        <v>2012</v>
      </c>
    </row>
    <row r="2204" spans="6:11" ht="24" customHeight="1">
      <c r="F2204" s="26" t="s">
        <v>27</v>
      </c>
      <c r="H2204" s="26" t="s">
        <v>2013</v>
      </c>
      <c r="I2204" s="27" t="s">
        <v>106</v>
      </c>
      <c r="K2204" s="40">
        <v>3</v>
      </c>
    </row>
    <row r="2205" spans="6:11" ht="24" customHeight="1">
      <c r="K2205" s="35" t="s">
        <v>48</v>
      </c>
    </row>
    <row r="2206" spans="6:11" ht="24" customHeight="1">
      <c r="H2206" s="26" t="s">
        <v>1997</v>
      </c>
      <c r="K2206" s="40">
        <f>SUM(K2202:K2204)</f>
        <v>128.6</v>
      </c>
    </row>
    <row r="2207" spans="6:11" ht="24" customHeight="1">
      <c r="K2207" s="35" t="s">
        <v>48</v>
      </c>
    </row>
    <row r="2209" spans="6:12" ht="24" customHeight="1">
      <c r="F2209" s="27" t="s">
        <v>2018</v>
      </c>
      <c r="G2209" s="38" t="s">
        <v>67</v>
      </c>
      <c r="H2209" s="30" t="s">
        <v>2000</v>
      </c>
    </row>
    <row r="2210" spans="6:12" ht="24" customHeight="1">
      <c r="H2210" s="30" t="s">
        <v>2016</v>
      </c>
    </row>
    <row r="2211" spans="6:12" ht="24" customHeight="1">
      <c r="H2211" s="35" t="s">
        <v>48</v>
      </c>
    </row>
    <row r="2212" spans="6:12" ht="24" customHeight="1">
      <c r="F2212" s="40">
        <v>1</v>
      </c>
      <c r="G2212" s="38" t="s">
        <v>105</v>
      </c>
      <c r="H2212" s="26" t="s">
        <v>2019</v>
      </c>
      <c r="I2212" s="40">
        <f>C208</f>
        <v>162.9</v>
      </c>
      <c r="J2212" s="26" t="s">
        <v>105</v>
      </c>
      <c r="K2212" s="40">
        <f>(F2212*I2212)</f>
        <v>162.9</v>
      </c>
    </row>
    <row r="2213" spans="6:12" ht="24" customHeight="1">
      <c r="F2213" s="26" t="s">
        <v>27</v>
      </c>
      <c r="H2213" s="26" t="s">
        <v>2012</v>
      </c>
    </row>
    <row r="2214" spans="6:12" ht="24" customHeight="1">
      <c r="F2214" s="26" t="s">
        <v>27</v>
      </c>
      <c r="H2214" s="26" t="s">
        <v>2013</v>
      </c>
      <c r="I2214" s="27" t="s">
        <v>106</v>
      </c>
      <c r="K2214" s="40">
        <v>3</v>
      </c>
    </row>
    <row r="2215" spans="6:12" ht="24" customHeight="1">
      <c r="K2215" s="35" t="s">
        <v>48</v>
      </c>
    </row>
    <row r="2216" spans="6:12" ht="24" customHeight="1">
      <c r="H2216" s="30" t="s">
        <v>1997</v>
      </c>
      <c r="K2216" s="40">
        <f>SUM(K2212:K2214)</f>
        <v>165.9</v>
      </c>
    </row>
    <row r="2217" spans="6:12" ht="24" customHeight="1">
      <c r="K2217" s="35" t="s">
        <v>48</v>
      </c>
    </row>
    <row r="2218" spans="6:12" ht="24" customHeight="1">
      <c r="F2218" s="27" t="s">
        <v>2020</v>
      </c>
      <c r="H2218" s="30" t="s">
        <v>2021</v>
      </c>
    </row>
    <row r="2219" spans="6:12" ht="24" customHeight="1">
      <c r="H2219" s="30" t="s">
        <v>2022</v>
      </c>
    </row>
    <row r="2220" spans="6:12" ht="24" customHeight="1">
      <c r="H2220" s="35" t="s">
        <v>48</v>
      </c>
    </row>
    <row r="2221" spans="6:12" ht="24" customHeight="1">
      <c r="F2221" s="40">
        <v>2.5</v>
      </c>
      <c r="G2221" s="38" t="s">
        <v>2023</v>
      </c>
      <c r="H2221" s="26" t="s">
        <v>2021</v>
      </c>
      <c r="I2221" s="40">
        <f>C588</f>
        <v>30</v>
      </c>
      <c r="J2221" s="26">
        <v>2.5</v>
      </c>
      <c r="K2221" s="291">
        <f>(F2221*I2221)/F2221</f>
        <v>30</v>
      </c>
      <c r="L2221" s="28">
        <f>1394*1.62-K2252</f>
        <v>-1846.105</v>
      </c>
    </row>
    <row r="2222" spans="6:12" ht="24" customHeight="1">
      <c r="H2222" s="26" t="s">
        <v>2024</v>
      </c>
      <c r="J2222" s="26" t="s">
        <v>2023</v>
      </c>
      <c r="K2222" s="292"/>
    </row>
    <row r="2223" spans="6:12" ht="24" customHeight="1">
      <c r="G2223" s="38" t="s">
        <v>106</v>
      </c>
      <c r="H2223" s="26" t="s">
        <v>2025</v>
      </c>
      <c r="J2223" s="26" t="s">
        <v>106</v>
      </c>
      <c r="K2223" s="150">
        <v>1.87</v>
      </c>
    </row>
    <row r="2224" spans="6:12" ht="24" customHeight="1">
      <c r="K2224" s="35" t="s">
        <v>48</v>
      </c>
    </row>
    <row r="2225" spans="6:11" ht="24" customHeight="1">
      <c r="H2225" s="42" t="s">
        <v>2008</v>
      </c>
      <c r="K2225" s="39">
        <f>SUM(K2221:K2223)</f>
        <v>31.87</v>
      </c>
    </row>
    <row r="2226" spans="6:11" ht="24" customHeight="1">
      <c r="K2226" s="35" t="s">
        <v>41</v>
      </c>
    </row>
    <row r="2228" spans="6:11" ht="24" customHeight="1">
      <c r="F2228" s="27" t="s">
        <v>2026</v>
      </c>
      <c r="G2228" s="38" t="s">
        <v>67</v>
      </c>
      <c r="H2228" s="26" t="s">
        <v>2027</v>
      </c>
    </row>
    <row r="2229" spans="6:11" ht="24" customHeight="1">
      <c r="H2229" s="26" t="s">
        <v>2028</v>
      </c>
    </row>
    <row r="2230" spans="6:11" ht="24" customHeight="1">
      <c r="H2230" s="26" t="s">
        <v>2029</v>
      </c>
    </row>
    <row r="2231" spans="6:11" ht="24" customHeight="1">
      <c r="H2231" s="26" t="s">
        <v>2030</v>
      </c>
    </row>
    <row r="2232" spans="6:11" ht="24" customHeight="1">
      <c r="H2232" s="26" t="s">
        <v>2031</v>
      </c>
    </row>
    <row r="2233" spans="6:11" ht="24" customHeight="1">
      <c r="H2233" s="26" t="s">
        <v>2032</v>
      </c>
    </row>
    <row r="2234" spans="6:11" ht="24" customHeight="1">
      <c r="H2234" s="26" t="s">
        <v>2033</v>
      </c>
    </row>
    <row r="2235" spans="6:11" ht="24" customHeight="1">
      <c r="H2235" s="26" t="s">
        <v>2034</v>
      </c>
    </row>
    <row r="2236" spans="6:11" ht="24" customHeight="1">
      <c r="H2236" s="26" t="s">
        <v>2035</v>
      </c>
    </row>
    <row r="2237" spans="6:11" ht="24" customHeight="1">
      <c r="H2237" s="26" t="s">
        <v>2036</v>
      </c>
    </row>
    <row r="2238" spans="6:11" ht="24" customHeight="1">
      <c r="H2238" s="26" t="s">
        <v>2037</v>
      </c>
    </row>
    <row r="2239" spans="6:11" ht="24" customHeight="1">
      <c r="H2239" s="26" t="s">
        <v>2038</v>
      </c>
    </row>
    <row r="2240" spans="6:11" ht="24" customHeight="1">
      <c r="H2240" s="35" t="s">
        <v>48</v>
      </c>
      <c r="I2240" s="35" t="s">
        <v>48</v>
      </c>
    </row>
    <row r="2241" spans="6:13" ht="24" customHeight="1">
      <c r="F2241" s="26" t="s">
        <v>27</v>
      </c>
    </row>
    <row r="2242" spans="6:13" ht="24" customHeight="1">
      <c r="F2242" s="107">
        <v>1.7399999999999999E-2</v>
      </c>
      <c r="G2242" s="38" t="s">
        <v>249</v>
      </c>
      <c r="H2242" s="26" t="s">
        <v>2039</v>
      </c>
      <c r="I2242" s="40">
        <f>C86</f>
        <v>34300</v>
      </c>
      <c r="J2242" s="26" t="s">
        <v>249</v>
      </c>
      <c r="K2242" s="40">
        <f t="shared" ref="K2242:K2249" si="231">F2242*I2242</f>
        <v>596.81999999999994</v>
      </c>
    </row>
    <row r="2243" spans="6:13" ht="24" customHeight="1">
      <c r="F2243" s="107">
        <v>2.93E-2</v>
      </c>
      <c r="G2243" s="38" t="s">
        <v>249</v>
      </c>
      <c r="H2243" s="26" t="s">
        <v>2040</v>
      </c>
      <c r="I2243" s="40">
        <f>C87</f>
        <v>39400</v>
      </c>
      <c r="J2243" s="26" t="s">
        <v>249</v>
      </c>
      <c r="K2243" s="40">
        <f t="shared" si="231"/>
        <v>1154.42</v>
      </c>
    </row>
    <row r="2244" spans="6:13" ht="24" customHeight="1">
      <c r="F2244" s="107">
        <v>1.093</v>
      </c>
      <c r="G2244" s="38" t="s">
        <v>788</v>
      </c>
      <c r="H2244" s="26" t="s">
        <v>2041</v>
      </c>
      <c r="I2244" s="40">
        <f>C199</f>
        <v>295</v>
      </c>
      <c r="J2244" s="26" t="s">
        <v>788</v>
      </c>
      <c r="K2244" s="40">
        <f t="shared" si="231"/>
        <v>322.435</v>
      </c>
    </row>
    <row r="2245" spans="6:13" ht="24" customHeight="1">
      <c r="F2245" s="40">
        <v>6</v>
      </c>
      <c r="G2245" s="38" t="s">
        <v>791</v>
      </c>
      <c r="H2245" s="26" t="s">
        <v>2042</v>
      </c>
      <c r="I2245" s="40">
        <f>C297</f>
        <v>7</v>
      </c>
      <c r="J2245" s="26" t="s">
        <v>793</v>
      </c>
      <c r="K2245" s="40">
        <f t="shared" si="231"/>
        <v>42</v>
      </c>
    </row>
    <row r="2246" spans="6:13" ht="24" customHeight="1">
      <c r="F2246" s="40">
        <v>1</v>
      </c>
      <c r="G2246" s="38" t="s">
        <v>791</v>
      </c>
      <c r="H2246" s="26" t="s">
        <v>2043</v>
      </c>
      <c r="I2246" s="40">
        <f>C287</f>
        <v>89.7</v>
      </c>
      <c r="J2246" s="26" t="s">
        <v>793</v>
      </c>
      <c r="K2246" s="40">
        <f t="shared" si="231"/>
        <v>89.7</v>
      </c>
    </row>
    <row r="2247" spans="6:13" ht="24" customHeight="1">
      <c r="F2247" s="40">
        <v>2</v>
      </c>
      <c r="G2247" s="38" t="s">
        <v>791</v>
      </c>
      <c r="H2247" s="26" t="s">
        <v>2044</v>
      </c>
      <c r="I2247" s="40">
        <f>C308</f>
        <v>3</v>
      </c>
      <c r="J2247" s="26" t="s">
        <v>793</v>
      </c>
      <c r="K2247" s="40">
        <f t="shared" si="231"/>
        <v>6</v>
      </c>
    </row>
    <row r="2248" spans="6:13" ht="24" customHeight="1">
      <c r="F2248" s="40">
        <v>6</v>
      </c>
      <c r="G2248" s="38" t="s">
        <v>791</v>
      </c>
      <c r="H2248" s="26" t="s">
        <v>2045</v>
      </c>
      <c r="I2248" s="293">
        <v>10.5</v>
      </c>
      <c r="J2248" s="26" t="s">
        <v>793</v>
      </c>
      <c r="K2248" s="40">
        <f t="shared" si="231"/>
        <v>63</v>
      </c>
    </row>
    <row r="2249" spans="6:13" ht="24" customHeight="1">
      <c r="F2249" s="76">
        <v>1.62</v>
      </c>
      <c r="G2249" s="38" t="s">
        <v>788</v>
      </c>
      <c r="H2249" s="26" t="s">
        <v>2046</v>
      </c>
      <c r="I2249" s="40">
        <f>D33</f>
        <v>1127</v>
      </c>
      <c r="J2249" s="26" t="s">
        <v>788</v>
      </c>
      <c r="K2249" s="40">
        <f t="shared" si="231"/>
        <v>1825.74</v>
      </c>
    </row>
    <row r="2250" spans="6:13" ht="24" customHeight="1">
      <c r="G2250" s="38" t="s">
        <v>106</v>
      </c>
      <c r="H2250" s="26" t="s">
        <v>2047</v>
      </c>
      <c r="J2250" s="26" t="s">
        <v>106</v>
      </c>
      <c r="K2250" s="40">
        <v>4.2699999999999996</v>
      </c>
    </row>
    <row r="2251" spans="6:13" ht="24" customHeight="1">
      <c r="K2251" s="35" t="s">
        <v>48</v>
      </c>
    </row>
    <row r="2252" spans="6:13" ht="24" customHeight="1">
      <c r="H2252" s="42" t="s">
        <v>2048</v>
      </c>
      <c r="K2252" s="39">
        <f>SUM(K2242:K2250)</f>
        <v>4104.3850000000002</v>
      </c>
    </row>
    <row r="2253" spans="6:13" ht="24" customHeight="1">
      <c r="K2253" s="43" t="s">
        <v>48</v>
      </c>
    </row>
    <row r="2254" spans="6:13" ht="24" customHeight="1">
      <c r="K2254" s="41"/>
    </row>
    <row r="2255" spans="6:13" ht="24" customHeight="1">
      <c r="H2255" s="42" t="s">
        <v>2049</v>
      </c>
      <c r="I2255" s="26" t="s">
        <v>27</v>
      </c>
      <c r="K2255" s="39">
        <f>K2252/1.62</f>
        <v>2533.570987654321</v>
      </c>
      <c r="M2255" s="28">
        <f>1921*1.62</f>
        <v>3112.02</v>
      </c>
    </row>
    <row r="2256" spans="6:13" ht="15" customHeight="1">
      <c r="F2256" s="26" t="s">
        <v>27</v>
      </c>
      <c r="G2256" s="38" t="s">
        <v>27</v>
      </c>
      <c r="H2256" s="26" t="s">
        <v>27</v>
      </c>
      <c r="I2256" s="26" t="s">
        <v>27</v>
      </c>
      <c r="J2256" s="26" t="s">
        <v>27</v>
      </c>
      <c r="M2256" s="28">
        <f>M2255-K2252</f>
        <v>-992.36500000000024</v>
      </c>
    </row>
    <row r="2257" spans="6:12" ht="13.5" hidden="1" customHeight="1"/>
    <row r="2258" spans="6:12" ht="24" customHeight="1">
      <c r="G2258" s="38" t="s">
        <v>420</v>
      </c>
      <c r="H2258" s="30" t="s">
        <v>1111</v>
      </c>
    </row>
    <row r="2259" spans="6:12" ht="24" customHeight="1">
      <c r="H2259" s="26" t="s">
        <v>2050</v>
      </c>
      <c r="L2259" s="28">
        <f>3.6*1.1</f>
        <v>3.9600000000000004</v>
      </c>
    </row>
    <row r="2260" spans="6:12" ht="24" customHeight="1">
      <c r="F2260" s="26" t="s">
        <v>27</v>
      </c>
      <c r="H2260" s="26" t="s">
        <v>2051</v>
      </c>
      <c r="L2260" s="28">
        <f>3.6*1.6</f>
        <v>5.7600000000000007</v>
      </c>
    </row>
    <row r="2261" spans="6:12" ht="35.25" customHeight="1">
      <c r="F2261" s="27" t="s">
        <v>2052</v>
      </c>
      <c r="H2261" s="26" t="s">
        <v>1115</v>
      </c>
      <c r="K2261" s="63">
        <f>[2]Elec.Data!K2860</f>
        <v>1340</v>
      </c>
    </row>
    <row r="2262" spans="6:12" ht="30.75" customHeight="1">
      <c r="F2262" s="27" t="s">
        <v>2053</v>
      </c>
      <c r="H2262" s="27" t="s">
        <v>1119</v>
      </c>
      <c r="K2262" s="63">
        <f>[2]Elec.Data!K2884</f>
        <v>1344</v>
      </c>
    </row>
    <row r="2263" spans="6:12" ht="30.75" customHeight="1">
      <c r="F2263" s="27" t="s">
        <v>2054</v>
      </c>
      <c r="H2263" s="26" t="s">
        <v>1184</v>
      </c>
      <c r="K2263" s="63">
        <f>[2]Elec.Data!K2899</f>
        <v>1372</v>
      </c>
    </row>
    <row r="2264" spans="6:12" ht="30.75" customHeight="1">
      <c r="F2264" s="64">
        <v>65</v>
      </c>
      <c r="H2264" s="26" t="s">
        <v>1121</v>
      </c>
      <c r="K2264" s="63">
        <f>[2]Elec.Data!K2921</f>
        <v>1399</v>
      </c>
    </row>
    <row r="2265" spans="6:12" ht="30.75" customHeight="1">
      <c r="F2265" s="64">
        <v>66</v>
      </c>
      <c r="H2265" s="26" t="s">
        <v>1129</v>
      </c>
      <c r="K2265" s="63">
        <f>[2]Elec.Data!K2945</f>
        <v>2507</v>
      </c>
    </row>
    <row r="2266" spans="6:12" ht="30.75" customHeight="1">
      <c r="F2266" s="64">
        <v>67</v>
      </c>
      <c r="H2266" s="26" t="s">
        <v>1124</v>
      </c>
      <c r="K2266" s="63">
        <f>[2]Elec.Data!K2977</f>
        <v>688</v>
      </c>
    </row>
    <row r="2267" spans="6:12" ht="30.75" customHeight="1">
      <c r="F2267" s="64">
        <v>68</v>
      </c>
      <c r="H2267" s="26" t="s">
        <v>1127</v>
      </c>
      <c r="K2267" s="63">
        <f>[2]Elec.Data!K2965</f>
        <v>934</v>
      </c>
    </row>
    <row r="2268" spans="6:12" ht="30.75" customHeight="1">
      <c r="F2268" s="64">
        <v>69</v>
      </c>
      <c r="H2268" s="26" t="s">
        <v>2055</v>
      </c>
      <c r="K2268" s="63">
        <f>[2]Elec.Data!K2988</f>
        <v>129</v>
      </c>
    </row>
    <row r="2269" spans="6:12" ht="30.75" customHeight="1">
      <c r="F2269" s="64" t="s">
        <v>2056</v>
      </c>
      <c r="H2269" s="26" t="s">
        <v>1193</v>
      </c>
      <c r="K2269" s="63">
        <f>[2]Elec.Data!K3135</f>
        <v>462</v>
      </c>
    </row>
    <row r="2270" spans="6:12" ht="30.75" customHeight="1">
      <c r="F2270" s="64" t="s">
        <v>2057</v>
      </c>
      <c r="H2270" s="26" t="s">
        <v>2058</v>
      </c>
      <c r="J2270" s="33"/>
      <c r="K2270" s="63"/>
      <c r="L2270" s="28">
        <f>37.7*90</f>
        <v>3393.0000000000005</v>
      </c>
    </row>
    <row r="2271" spans="6:12" ht="30.75" customHeight="1">
      <c r="F2271" s="64" t="s">
        <v>2059</v>
      </c>
      <c r="H2271" s="26" t="s">
        <v>2060</v>
      </c>
      <c r="K2271" s="48">
        <v>12</v>
      </c>
    </row>
    <row r="2272" spans="6:12" ht="24" customHeight="1">
      <c r="F2272" s="64" t="s">
        <v>2061</v>
      </c>
      <c r="H2272" s="26" t="s">
        <v>2062</v>
      </c>
      <c r="K2272" s="133">
        <v>10</v>
      </c>
    </row>
    <row r="2273" spans="6:11" ht="24" customHeight="1">
      <c r="F2273" s="64">
        <v>71</v>
      </c>
      <c r="H2273" s="26" t="s">
        <v>1194</v>
      </c>
      <c r="K2273" s="63">
        <f>[3]Elec.Data!K3154</f>
        <v>562</v>
      </c>
    </row>
    <row r="2274" spans="6:11" ht="24" customHeight="1">
      <c r="F2274" s="64">
        <v>72</v>
      </c>
      <c r="H2274" s="26" t="s">
        <v>2063</v>
      </c>
      <c r="K2274" s="133">
        <v>33.9</v>
      </c>
    </row>
    <row r="2275" spans="6:11" ht="24" customHeight="1">
      <c r="F2275" s="64" t="s">
        <v>2064</v>
      </c>
      <c r="H2275" s="26" t="s">
        <v>1197</v>
      </c>
      <c r="K2275" s="63">
        <f>[2]Elec.Data!K3233</f>
        <v>4020</v>
      </c>
    </row>
    <row r="2276" spans="6:11" ht="24" customHeight="1">
      <c r="F2276" s="64" t="s">
        <v>2065</v>
      </c>
      <c r="H2276" s="26" t="s">
        <v>2066</v>
      </c>
      <c r="K2276" s="63">
        <f>[2]Elec.Data!K3221</f>
        <v>3250</v>
      </c>
    </row>
    <row r="2277" spans="6:11" ht="24" customHeight="1">
      <c r="F2277" s="64">
        <v>74</v>
      </c>
      <c r="H2277" s="26" t="s">
        <v>1199</v>
      </c>
      <c r="K2277" s="63">
        <f>[2]Elec.Data!K3277</f>
        <v>467</v>
      </c>
    </row>
    <row r="2278" spans="6:11" ht="24" customHeight="1">
      <c r="F2278" s="64" t="s">
        <v>2067</v>
      </c>
      <c r="H2278" s="26" t="s">
        <v>2068</v>
      </c>
      <c r="K2278" s="63">
        <v>1185</v>
      </c>
    </row>
    <row r="2279" spans="6:11" ht="24" customHeight="1">
      <c r="F2279" s="64" t="s">
        <v>2069</v>
      </c>
      <c r="H2279" s="26" t="s">
        <v>1202</v>
      </c>
    </row>
    <row r="2280" spans="6:11" ht="24" customHeight="1">
      <c r="F2280" s="64">
        <v>112</v>
      </c>
      <c r="H2280" s="26" t="s">
        <v>2070</v>
      </c>
      <c r="K2280" s="63">
        <f>[2]Elec.Data!K3744</f>
        <v>1920</v>
      </c>
    </row>
    <row r="2281" spans="6:11" ht="34.5" customHeight="1">
      <c r="F2281" s="64">
        <v>76</v>
      </c>
      <c r="H2281" s="26" t="s">
        <v>1204</v>
      </c>
      <c r="K2281" s="63" t="e">
        <f>[2]Elec.Data!K3295</f>
        <v>#REF!</v>
      </c>
    </row>
    <row r="2282" spans="6:11" ht="31.5" customHeight="1">
      <c r="F2282" s="64">
        <v>77</v>
      </c>
      <c r="H2282" s="26" t="s">
        <v>2071</v>
      </c>
      <c r="K2282" s="63">
        <f>[2]Elec.Data!K3080</f>
        <v>172</v>
      </c>
    </row>
    <row r="2283" spans="6:11" ht="38.25" customHeight="1">
      <c r="F2283" s="294">
        <v>77.099999999999994</v>
      </c>
      <c r="H2283" s="88" t="s">
        <v>2072</v>
      </c>
      <c r="K2283" s="295">
        <f>[2]Elec.Data!K3105</f>
        <v>219</v>
      </c>
    </row>
    <row r="2284" spans="6:11" ht="24" customHeight="1">
      <c r="F2284" s="77">
        <v>77.2</v>
      </c>
      <c r="H2284" s="26" t="s">
        <v>2073</v>
      </c>
      <c r="K2284" s="63">
        <v>500</v>
      </c>
    </row>
    <row r="2285" spans="6:11" ht="24" customHeight="1">
      <c r="F2285" s="77">
        <v>77.3</v>
      </c>
      <c r="H2285" s="26" t="s">
        <v>2074</v>
      </c>
      <c r="K2285" s="73">
        <f>[2]Elec.Data!K3712</f>
        <v>80</v>
      </c>
    </row>
    <row r="2286" spans="6:11" ht="24" customHeight="1">
      <c r="F2286" s="64">
        <v>78</v>
      </c>
      <c r="H2286" s="26" t="s">
        <v>1210</v>
      </c>
      <c r="K2286" s="63">
        <f>[2]Elec.Data!K3319</f>
        <v>2355</v>
      </c>
    </row>
    <row r="2287" spans="6:11" ht="24" customHeight="1">
      <c r="F2287" s="64">
        <v>80</v>
      </c>
      <c r="H2287" s="26" t="s">
        <v>1216</v>
      </c>
      <c r="K2287" s="63">
        <f>[2]Elec.Data!K3441</f>
        <v>718</v>
      </c>
    </row>
    <row r="2288" spans="6:11" ht="24" customHeight="1">
      <c r="F2288" s="64">
        <v>81</v>
      </c>
      <c r="H2288" s="26" t="s">
        <v>1219</v>
      </c>
      <c r="K2288" s="40">
        <f>K2255</f>
        <v>2533.570987654321</v>
      </c>
    </row>
    <row r="2289" spans="6:35" ht="24" customHeight="1">
      <c r="F2289" s="64">
        <v>82</v>
      </c>
      <c r="H2289" s="26" t="s">
        <v>1221</v>
      </c>
      <c r="K2289" s="63">
        <f>[2]Elec.Data!K3638</f>
        <v>2579</v>
      </c>
    </row>
    <row r="2290" spans="6:35" ht="24" customHeight="1">
      <c r="F2290" s="64">
        <v>87</v>
      </c>
      <c r="H2290" s="26" t="s">
        <v>1224</v>
      </c>
      <c r="K2290" s="63">
        <f>[2]Elec.Data!K3458</f>
        <v>2505</v>
      </c>
    </row>
    <row r="2291" spans="6:35" ht="24" customHeight="1">
      <c r="H2291" s="296" t="s">
        <v>2075</v>
      </c>
      <c r="K2291" s="63">
        <f>[2]Elec.Data!K3762</f>
        <v>1770</v>
      </c>
    </row>
    <row r="2292" spans="6:35" ht="24" customHeight="1">
      <c r="H2292" s="297" t="s">
        <v>2076</v>
      </c>
      <c r="K2292" s="63">
        <v>137</v>
      </c>
    </row>
    <row r="2293" spans="6:35" ht="28.5" customHeight="1">
      <c r="F2293" s="298">
        <v>77.400000000000006</v>
      </c>
      <c r="H2293" s="299" t="s">
        <v>2077</v>
      </c>
    </row>
    <row r="2294" spans="6:35" ht="27" customHeight="1">
      <c r="H2294" s="26" t="s">
        <v>2050</v>
      </c>
    </row>
    <row r="2295" spans="6:35" ht="42.75" customHeight="1">
      <c r="F2295" s="28">
        <v>90</v>
      </c>
      <c r="G2295" s="29" t="s">
        <v>2078</v>
      </c>
      <c r="H2295" s="276" t="s">
        <v>2079</v>
      </c>
      <c r="I2295" s="300">
        <v>17.100000000000001</v>
      </c>
      <c r="J2295" s="31" t="s">
        <v>2078</v>
      </c>
      <c r="K2295" s="28">
        <f>I2295*F2295</f>
        <v>1539.0000000000002</v>
      </c>
    </row>
    <row r="2296" spans="6:35" ht="24" customHeight="1">
      <c r="F2296" s="28">
        <v>0.15</v>
      </c>
      <c r="G2296" s="29" t="s">
        <v>962</v>
      </c>
      <c r="H2296" s="28" t="s">
        <v>85</v>
      </c>
      <c r="I2296" s="28">
        <f>AE31</f>
        <v>5800</v>
      </c>
      <c r="J2296" s="31" t="s">
        <v>962</v>
      </c>
      <c r="K2296" s="28">
        <f>I2296*F2296</f>
        <v>870</v>
      </c>
    </row>
    <row r="2297" spans="6:35" ht="24" customHeight="1">
      <c r="F2297" s="28">
        <v>1</v>
      </c>
      <c r="G2297" s="29" t="s">
        <v>196</v>
      </c>
      <c r="H2297" s="28" t="s">
        <v>2080</v>
      </c>
      <c r="I2297" s="301">
        <f>C809</f>
        <v>636</v>
      </c>
      <c r="J2297" s="31" t="s">
        <v>196</v>
      </c>
      <c r="K2297" s="28">
        <f>I2297*F2297</f>
        <v>636</v>
      </c>
    </row>
    <row r="2298" spans="6:35" ht="24" customHeight="1">
      <c r="F2298" s="28">
        <v>2</v>
      </c>
      <c r="G2298" s="29" t="s">
        <v>196</v>
      </c>
      <c r="H2298" s="28" t="s">
        <v>269</v>
      </c>
      <c r="I2298" s="28">
        <f>AG10</f>
        <v>1005.1999999999999</v>
      </c>
      <c r="J2298" s="31" t="s">
        <v>196</v>
      </c>
      <c r="K2298" s="28">
        <f>I2298*F2298</f>
        <v>2010.3999999999999</v>
      </c>
    </row>
    <row r="2299" spans="6:35" ht="24" customHeight="1">
      <c r="F2299" s="28">
        <v>4</v>
      </c>
      <c r="G2299" s="29" t="s">
        <v>196</v>
      </c>
      <c r="H2299" s="28" t="str">
        <f>B810</f>
        <v>Electrical HELPERp-15 it-100</v>
      </c>
      <c r="I2299" s="301">
        <f>C810</f>
        <v>497</v>
      </c>
      <c r="J2299" s="31" t="s">
        <v>196</v>
      </c>
      <c r="K2299" s="28">
        <f>I2299*F2299</f>
        <v>1988</v>
      </c>
    </row>
    <row r="2300" spans="6:35" ht="24" customHeight="1">
      <c r="H2300" s="28" t="s">
        <v>2081</v>
      </c>
      <c r="K2300" s="28">
        <v>11.5</v>
      </c>
    </row>
    <row r="2301" spans="6:35" ht="24" customHeight="1">
      <c r="K2301" s="35" t="s">
        <v>48</v>
      </c>
    </row>
    <row r="2302" spans="6:35" ht="36.75" customHeight="1">
      <c r="H2302" s="26" t="s">
        <v>2082</v>
      </c>
      <c r="K2302" s="40">
        <f>SUM(K2295:K2300)</f>
        <v>7054.9</v>
      </c>
    </row>
    <row r="2303" spans="6:35" ht="24" customHeight="1">
      <c r="K2303" s="35" t="s">
        <v>48</v>
      </c>
    </row>
    <row r="2304" spans="6:35" ht="24" customHeight="1">
      <c r="H2304" s="26" t="s">
        <v>1998</v>
      </c>
      <c r="K2304" s="40">
        <f>(K2302/90)</f>
        <v>78.387777777777771</v>
      </c>
      <c r="AI2304" s="28">
        <v>0</v>
      </c>
    </row>
    <row r="2305" spans="5:255" ht="24" customHeight="1">
      <c r="K2305" s="35" t="s">
        <v>41</v>
      </c>
      <c r="IU2305" s="28">
        <v>0</v>
      </c>
    </row>
    <row r="2307" spans="5:255" ht="24" customHeight="1">
      <c r="F2307" s="132">
        <v>78.099999999999994</v>
      </c>
      <c r="H2307" s="30" t="s">
        <v>2083</v>
      </c>
      <c r="L2307" s="28">
        <f>31.5+85</f>
        <v>116.5</v>
      </c>
    </row>
    <row r="2308" spans="5:255" ht="24" customHeight="1">
      <c r="H2308" s="26" t="s">
        <v>2050</v>
      </c>
      <c r="L2308" s="28">
        <f>L2307*10%</f>
        <v>11.65</v>
      </c>
    </row>
    <row r="2309" spans="5:255" ht="24" customHeight="1">
      <c r="F2309" s="28">
        <v>2.5</v>
      </c>
      <c r="G2309" s="29" t="s">
        <v>196</v>
      </c>
      <c r="H2309" s="28" t="s">
        <v>2084</v>
      </c>
      <c r="I2309" s="139">
        <f>C395</f>
        <v>163</v>
      </c>
      <c r="J2309" s="31" t="s">
        <v>196</v>
      </c>
      <c r="K2309" s="28">
        <f t="shared" ref="K2309:K2314" si="232">I2309*F2309</f>
        <v>407.5</v>
      </c>
    </row>
    <row r="2310" spans="5:255" ht="24" customHeight="1">
      <c r="F2310" s="28">
        <v>20</v>
      </c>
      <c r="G2310" s="29" t="s">
        <v>1840</v>
      </c>
      <c r="H2310" s="302" t="s">
        <v>2085</v>
      </c>
      <c r="I2310" s="303">
        <f>[2]Elec.Data!I3313</f>
        <v>4.96</v>
      </c>
      <c r="J2310" s="31" t="s">
        <v>1840</v>
      </c>
      <c r="K2310" s="28">
        <f t="shared" si="232"/>
        <v>99.2</v>
      </c>
    </row>
    <row r="2311" spans="5:255" ht="24" customHeight="1">
      <c r="F2311" s="28">
        <v>9</v>
      </c>
      <c r="G2311" s="29" t="s">
        <v>1840</v>
      </c>
      <c r="H2311" s="28" t="s">
        <v>2086</v>
      </c>
      <c r="I2311" s="139">
        <f>[2]Elec.Data!I3316</f>
        <v>3.7</v>
      </c>
      <c r="J2311" s="31" t="s">
        <v>1840</v>
      </c>
      <c r="K2311" s="28">
        <f t="shared" si="232"/>
        <v>33.300000000000004</v>
      </c>
    </row>
    <row r="2312" spans="5:255" ht="51.75" customHeight="1">
      <c r="F2312" s="28">
        <v>0.5</v>
      </c>
      <c r="G2312" s="29" t="s">
        <v>1840</v>
      </c>
      <c r="H2312" s="28" t="s">
        <v>2087</v>
      </c>
      <c r="I2312" s="304">
        <f>[2]Elec.Data!I3289</f>
        <v>82.6</v>
      </c>
      <c r="J2312" s="31" t="s">
        <v>1840</v>
      </c>
      <c r="K2312" s="28">
        <f t="shared" si="232"/>
        <v>41.3</v>
      </c>
    </row>
    <row r="2313" spans="5:255" ht="36.75" customHeight="1">
      <c r="E2313" s="32">
        <f>25.2/5</f>
        <v>5.04</v>
      </c>
      <c r="F2313" s="28">
        <v>0.5</v>
      </c>
      <c r="G2313" s="29" t="s">
        <v>196</v>
      </c>
      <c r="H2313" s="28" t="s">
        <v>2088</v>
      </c>
      <c r="I2313" s="28">
        <f>I2297</f>
        <v>636</v>
      </c>
      <c r="J2313" s="31" t="s">
        <v>196</v>
      </c>
      <c r="K2313" s="28">
        <f t="shared" si="232"/>
        <v>318</v>
      </c>
    </row>
    <row r="2314" spans="5:255" ht="24" customHeight="1">
      <c r="F2314" s="28">
        <v>1</v>
      </c>
      <c r="G2314" s="29" t="s">
        <v>196</v>
      </c>
      <c r="H2314" s="28" t="s">
        <v>2089</v>
      </c>
      <c r="I2314" s="28">
        <f>I2299</f>
        <v>497</v>
      </c>
      <c r="J2314" s="31" t="s">
        <v>196</v>
      </c>
      <c r="K2314" s="28">
        <f t="shared" si="232"/>
        <v>497</v>
      </c>
    </row>
    <row r="2315" spans="5:255" ht="45.75" customHeight="1">
      <c r="G2315" s="29" t="s">
        <v>363</v>
      </c>
      <c r="H2315" s="146" t="s">
        <v>2090</v>
      </c>
      <c r="J2315" s="31" t="s">
        <v>363</v>
      </c>
      <c r="K2315" s="28">
        <v>200</v>
      </c>
    </row>
    <row r="2316" spans="5:255" ht="24" customHeight="1">
      <c r="G2316" s="29" t="s">
        <v>363</v>
      </c>
      <c r="H2316" s="28" t="s">
        <v>2091</v>
      </c>
      <c r="J2316" s="31" t="s">
        <v>363</v>
      </c>
      <c r="K2316" s="28">
        <v>8.32</v>
      </c>
    </row>
    <row r="2317" spans="5:255" ht="24" customHeight="1">
      <c r="K2317" s="35" t="s">
        <v>48</v>
      </c>
    </row>
    <row r="2318" spans="5:255" ht="24" customHeight="1">
      <c r="H2318" s="28" t="s">
        <v>1284</v>
      </c>
      <c r="K2318" s="40">
        <f>SUM(K2309:K2316)</f>
        <v>1604.62</v>
      </c>
      <c r="L2318" s="28">
        <f>K2352/3</f>
        <v>34.134</v>
      </c>
    </row>
    <row r="2319" spans="5:255" ht="27" customHeight="1">
      <c r="K2319" s="35" t="s">
        <v>48</v>
      </c>
    </row>
    <row r="2320" spans="5:255" ht="45" customHeight="1">
      <c r="H2320" s="41" t="s">
        <v>2092</v>
      </c>
    </row>
    <row r="2321" spans="6:19" ht="24" customHeight="1">
      <c r="F2321" s="28">
        <v>0.7</v>
      </c>
      <c r="G2321" s="29" t="s">
        <v>196</v>
      </c>
      <c r="H2321" s="28" t="s">
        <v>2093</v>
      </c>
      <c r="I2321" s="28">
        <f>C17</f>
        <v>950.59999999999991</v>
      </c>
      <c r="J2321" s="31" t="s">
        <v>793</v>
      </c>
      <c r="K2321" s="28">
        <f>I2321*F2321</f>
        <v>665.41999999999985</v>
      </c>
      <c r="S2321" s="32">
        <f>R2359+R2360</f>
        <v>954.09999999999991</v>
      </c>
    </row>
    <row r="2322" spans="6:19" ht="24" customHeight="1">
      <c r="F2322" s="28">
        <v>0.5</v>
      </c>
      <c r="G2322" s="29" t="s">
        <v>196</v>
      </c>
      <c r="H2322" s="28" t="s">
        <v>2094</v>
      </c>
      <c r="I2322" s="28">
        <f>C12</f>
        <v>702.8</v>
      </c>
      <c r="J2322" s="31" t="s">
        <v>793</v>
      </c>
      <c r="K2322" s="28">
        <f>I2322*F2322</f>
        <v>351.4</v>
      </c>
    </row>
    <row r="2323" spans="6:19" ht="24" customHeight="1">
      <c r="H2323" s="28" t="s">
        <v>2095</v>
      </c>
      <c r="K2323" s="28">
        <f>SUM(K2321:K2322)</f>
        <v>1016.8199999999998</v>
      </c>
    </row>
    <row r="2324" spans="6:19" ht="24" customHeight="1">
      <c r="H2324" s="28" t="s">
        <v>2096</v>
      </c>
      <c r="K2324" s="41">
        <f>K2323/8.16</f>
        <v>124.61029411764703</v>
      </c>
    </row>
    <row r="2326" spans="6:19" ht="24" customHeight="1">
      <c r="H2326" s="41" t="s">
        <v>2097</v>
      </c>
    </row>
    <row r="2327" spans="6:19" ht="24" customHeight="1">
      <c r="F2327" s="28">
        <v>2</v>
      </c>
      <c r="G2327" s="29" t="s">
        <v>488</v>
      </c>
      <c r="H2327" s="28" t="s">
        <v>2098</v>
      </c>
      <c r="I2327" s="305">
        <v>60.9</v>
      </c>
      <c r="J2327" s="31" t="s">
        <v>488</v>
      </c>
      <c r="K2327" s="28">
        <f>I2327*F2327</f>
        <v>121.8</v>
      </c>
    </row>
    <row r="2328" spans="6:19" ht="24" customHeight="1">
      <c r="F2328" s="28">
        <v>0.2</v>
      </c>
      <c r="G2328" s="29" t="s">
        <v>488</v>
      </c>
      <c r="H2328" s="28" t="s">
        <v>2099</v>
      </c>
      <c r="I2328" s="28">
        <f>C143/1000</f>
        <v>43.75</v>
      </c>
      <c r="J2328" s="31" t="s">
        <v>488</v>
      </c>
      <c r="K2328" s="28">
        <f>I2328*F2328</f>
        <v>8.75</v>
      </c>
    </row>
    <row r="2329" spans="6:19" ht="24" customHeight="1">
      <c r="F2329" s="28">
        <v>2</v>
      </c>
      <c r="G2329" s="29" t="s">
        <v>488</v>
      </c>
      <c r="H2329" s="28" t="s">
        <v>2100</v>
      </c>
      <c r="I2329" s="28">
        <f>K2324</f>
        <v>124.61029411764703</v>
      </c>
      <c r="J2329" s="31" t="s">
        <v>488</v>
      </c>
      <c r="K2329" s="28">
        <f>I2329*F2329</f>
        <v>249.22058823529406</v>
      </c>
    </row>
    <row r="2330" spans="6:19" ht="24" customHeight="1">
      <c r="H2330" s="28" t="s">
        <v>2101</v>
      </c>
      <c r="K2330" s="28">
        <f>SUM(K2327:K2329)</f>
        <v>379.7705882352941</v>
      </c>
    </row>
    <row r="2331" spans="6:19" ht="24" customHeight="1">
      <c r="H2331" s="28" t="s">
        <v>2102</v>
      </c>
      <c r="K2331" s="41">
        <f>K2330/10</f>
        <v>37.977058823529411</v>
      </c>
    </row>
    <row r="2333" spans="6:19" ht="24" customHeight="1">
      <c r="H2333" s="41" t="s">
        <v>2103</v>
      </c>
      <c r="N2333" s="29"/>
      <c r="O2333" s="41" t="s">
        <v>2104</v>
      </c>
      <c r="Q2333" s="31"/>
    </row>
    <row r="2334" spans="6:19" ht="24" customHeight="1">
      <c r="F2334" s="28">
        <v>0.25</v>
      </c>
      <c r="G2334" s="29" t="s">
        <v>791</v>
      </c>
      <c r="H2334" s="28" t="s">
        <v>2105</v>
      </c>
      <c r="I2334" s="28">
        <f>C11</f>
        <v>1005.1999999999999</v>
      </c>
      <c r="J2334" s="31" t="s">
        <v>793</v>
      </c>
      <c r="K2334" s="28">
        <f>I2334*F2334</f>
        <v>251.29999999999998</v>
      </c>
      <c r="M2334" s="28">
        <v>15</v>
      </c>
      <c r="N2334" s="29" t="s">
        <v>480</v>
      </c>
      <c r="O2334" s="217" t="s">
        <v>2106</v>
      </c>
      <c r="P2334" s="105">
        <v>157.19999999999999</v>
      </c>
      <c r="Q2334" s="31" t="s">
        <v>480</v>
      </c>
      <c r="R2334" s="28">
        <f>P2334*M2334</f>
        <v>2358</v>
      </c>
    </row>
    <row r="2335" spans="6:19" ht="24" customHeight="1">
      <c r="F2335" s="28">
        <v>1</v>
      </c>
      <c r="G2335" s="29" t="s">
        <v>791</v>
      </c>
      <c r="H2335" s="28" t="s">
        <v>2094</v>
      </c>
      <c r="I2335" s="28">
        <f>C12</f>
        <v>702.8</v>
      </c>
      <c r="J2335" s="31" t="s">
        <v>793</v>
      </c>
      <c r="K2335" s="28">
        <f>I2335*F2335</f>
        <v>702.8</v>
      </c>
      <c r="M2335" s="28">
        <v>0.5</v>
      </c>
      <c r="N2335" s="29" t="s">
        <v>488</v>
      </c>
      <c r="O2335" s="28" t="s">
        <v>2099</v>
      </c>
      <c r="P2335" s="28">
        <f>C143/1000</f>
        <v>43.75</v>
      </c>
      <c r="Q2335" s="31" t="s">
        <v>488</v>
      </c>
      <c r="R2335" s="28">
        <f>P2335*M2335</f>
        <v>21.875</v>
      </c>
    </row>
    <row r="2336" spans="6:19" ht="24" customHeight="1">
      <c r="G2336" s="31" t="s">
        <v>106</v>
      </c>
      <c r="H2336" s="28" t="s">
        <v>2107</v>
      </c>
      <c r="I2336" s="28">
        <f>SUM(K2334:K2335)*10/100</f>
        <v>95.41</v>
      </c>
      <c r="J2336" s="31" t="s">
        <v>106</v>
      </c>
      <c r="K2336" s="28">
        <f>I2336</f>
        <v>95.41</v>
      </c>
      <c r="M2336" s="28">
        <v>0.5</v>
      </c>
      <c r="N2336" s="29" t="s">
        <v>791</v>
      </c>
      <c r="O2336" s="28" t="s">
        <v>2093</v>
      </c>
      <c r="P2336" s="28">
        <f>C17</f>
        <v>950.59999999999991</v>
      </c>
      <c r="Q2336" s="31" t="s">
        <v>488</v>
      </c>
      <c r="R2336" s="28">
        <f>P2336*M2336</f>
        <v>475.29999999999995</v>
      </c>
    </row>
    <row r="2337" spans="4:18" ht="24" customHeight="1">
      <c r="H2337" s="28" t="s">
        <v>2108</v>
      </c>
      <c r="K2337" s="28">
        <f>SUM(K2334:K2336)</f>
        <v>1049.51</v>
      </c>
      <c r="M2337" s="28">
        <v>0.5</v>
      </c>
      <c r="N2337" s="29" t="s">
        <v>791</v>
      </c>
      <c r="O2337" s="28" t="s">
        <v>2094</v>
      </c>
      <c r="P2337" s="28">
        <f>C12</f>
        <v>702.8</v>
      </c>
      <c r="Q2337" s="31" t="s">
        <v>488</v>
      </c>
      <c r="R2337" s="28">
        <f>P2337*M2337</f>
        <v>351.4</v>
      </c>
    </row>
    <row r="2338" spans="4:18" ht="24" customHeight="1">
      <c r="H2338" s="28" t="s">
        <v>2109</v>
      </c>
      <c r="K2338" s="41">
        <f>K2337/2.44</f>
        <v>430.1270491803279</v>
      </c>
      <c r="N2338" s="29"/>
      <c r="O2338" s="28" t="s">
        <v>2110</v>
      </c>
      <c r="Q2338" s="31"/>
      <c r="R2338" s="28">
        <f>SUM(R2334:R2337)</f>
        <v>3206.5750000000003</v>
      </c>
    </row>
    <row r="2339" spans="4:18" ht="24" customHeight="1">
      <c r="K2339" s="28">
        <v>0</v>
      </c>
      <c r="O2339" s="41" t="s">
        <v>2111</v>
      </c>
      <c r="Q2339" s="31"/>
      <c r="R2339" s="41">
        <f>R2338/15</f>
        <v>213.77166666666668</v>
      </c>
    </row>
    <row r="2340" spans="4:18" ht="24" customHeight="1">
      <c r="H2340" s="41" t="s">
        <v>2112</v>
      </c>
    </row>
    <row r="2341" spans="4:18" ht="24" customHeight="1">
      <c r="F2341" s="32">
        <v>7.0999999999999994E-2</v>
      </c>
      <c r="G2341" s="29" t="s">
        <v>2113</v>
      </c>
      <c r="H2341" s="28" t="s">
        <v>2114</v>
      </c>
      <c r="I2341" s="28">
        <f>K280</f>
        <v>9627.887999999999</v>
      </c>
      <c r="J2341" s="31" t="s">
        <v>2115</v>
      </c>
      <c r="K2341" s="28">
        <f>I2341*F2341</f>
        <v>683.58004799999992</v>
      </c>
    </row>
    <row r="2342" spans="4:18" ht="24" customHeight="1">
      <c r="F2342" s="28">
        <v>1</v>
      </c>
      <c r="G2342" s="29" t="s">
        <v>1822</v>
      </c>
      <c r="H2342" s="28" t="s">
        <v>490</v>
      </c>
      <c r="I2342" s="28">
        <f>K2338</f>
        <v>430.1270491803279</v>
      </c>
      <c r="J2342" s="31" t="s">
        <v>1822</v>
      </c>
      <c r="K2342" s="28">
        <f>I2342*F2342</f>
        <v>430.1270491803279</v>
      </c>
    </row>
    <row r="2343" spans="4:18" ht="61.5" customHeight="1">
      <c r="F2343" s="28" t="s">
        <v>27</v>
      </c>
      <c r="H2343" s="28" t="s">
        <v>2116</v>
      </c>
      <c r="K2343" s="41">
        <f>SUM(K2341:K2342)</f>
        <v>1113.7070971803278</v>
      </c>
      <c r="N2343" s="29"/>
      <c r="O2343" s="719" t="s">
        <v>2117</v>
      </c>
      <c r="P2343" s="720"/>
      <c r="Q2343" s="720"/>
    </row>
    <row r="2344" spans="4:18" ht="51" customHeight="1">
      <c r="M2344" s="28">
        <v>0.47</v>
      </c>
      <c r="N2344" s="29" t="s">
        <v>249</v>
      </c>
      <c r="O2344" s="28" t="s">
        <v>1815</v>
      </c>
      <c r="P2344" s="28">
        <f>K90</f>
        <v>235.2</v>
      </c>
      <c r="Q2344" s="31" t="s">
        <v>793</v>
      </c>
      <c r="R2344" s="28">
        <f>P2344*M2344</f>
        <v>110.54399999999998</v>
      </c>
    </row>
    <row r="2346" spans="4:18" ht="36.75" customHeight="1">
      <c r="H2346" s="306" t="s">
        <v>2118</v>
      </c>
      <c r="K2346" s="32"/>
      <c r="M2346" s="28">
        <v>0.24</v>
      </c>
      <c r="N2346" s="29" t="s">
        <v>249</v>
      </c>
      <c r="O2346" s="28" t="s">
        <v>2119</v>
      </c>
      <c r="P2346" s="28">
        <f>AE15</f>
        <v>2529.8000000000002</v>
      </c>
      <c r="Q2346" s="31" t="s">
        <v>793</v>
      </c>
      <c r="R2346" s="28">
        <f>P2346*M2346</f>
        <v>607.15200000000004</v>
      </c>
    </row>
    <row r="2347" spans="4:18" ht="72.75" customHeight="1">
      <c r="D2347" s="28">
        <f>24/5</f>
        <v>4.8</v>
      </c>
      <c r="F2347" s="28">
        <v>98.5</v>
      </c>
      <c r="G2347" s="171" t="s">
        <v>244</v>
      </c>
      <c r="H2347" s="307" t="s">
        <v>2120</v>
      </c>
      <c r="I2347" s="308">
        <f>E2313</f>
        <v>5.04</v>
      </c>
      <c r="J2347" s="31" t="s">
        <v>244</v>
      </c>
      <c r="K2347" s="28">
        <f>I2347*F2347</f>
        <v>496.44</v>
      </c>
      <c r="M2347" s="28">
        <v>0.79</v>
      </c>
      <c r="N2347" s="31" t="s">
        <v>788</v>
      </c>
      <c r="O2347" s="145" t="s">
        <v>2121</v>
      </c>
      <c r="P2347" s="28">
        <f>X559</f>
        <v>1800.7453740497979</v>
      </c>
      <c r="Q2347" s="31" t="s">
        <v>106</v>
      </c>
      <c r="R2347" s="28">
        <f>P2347*M2347</f>
        <v>1422.5888454993403</v>
      </c>
    </row>
    <row r="2348" spans="4:18" ht="24" customHeight="1">
      <c r="F2348" s="28">
        <v>0.3</v>
      </c>
      <c r="G2348" s="29" t="s">
        <v>244</v>
      </c>
      <c r="H2348" s="28" t="s">
        <v>1196</v>
      </c>
      <c r="I2348" s="28">
        <f>C16</f>
        <v>1052.8</v>
      </c>
      <c r="J2348" s="31" t="s">
        <v>793</v>
      </c>
      <c r="K2348" s="28">
        <f>I2348*F2348</f>
        <v>315.83999999999997</v>
      </c>
      <c r="M2348" s="28">
        <v>0.24</v>
      </c>
      <c r="N2348" s="29" t="s">
        <v>249</v>
      </c>
      <c r="O2348" s="28" t="s">
        <v>487</v>
      </c>
      <c r="P2348" s="28">
        <f>I140</f>
        <v>2765.84</v>
      </c>
      <c r="Q2348" s="31"/>
      <c r="R2348" s="28">
        <f>P2348*M2348</f>
        <v>663.80160000000001</v>
      </c>
    </row>
    <row r="2349" spans="4:18" ht="24" customHeight="1">
      <c r="F2349" s="28">
        <v>0.3</v>
      </c>
      <c r="G2349" s="28" t="s">
        <v>244</v>
      </c>
      <c r="H2349" s="28" t="s">
        <v>2094</v>
      </c>
      <c r="I2349" s="28">
        <f>C12</f>
        <v>702.8</v>
      </c>
      <c r="J2349" s="31" t="s">
        <v>793</v>
      </c>
      <c r="K2349" s="28">
        <f>I2349*F2349</f>
        <v>210.83999999999997</v>
      </c>
      <c r="N2349" s="29"/>
      <c r="O2349" s="28" t="s">
        <v>1236</v>
      </c>
      <c r="Q2349" s="31"/>
      <c r="R2349" s="28" t="s">
        <v>2122</v>
      </c>
    </row>
    <row r="2350" spans="4:18" ht="24" customHeight="1">
      <c r="H2350" s="28" t="s">
        <v>2123</v>
      </c>
      <c r="K2350" s="28">
        <v>0.9</v>
      </c>
      <c r="R2350" s="41">
        <f>SUM(R2344:R2348)</f>
        <v>2804.0864454993407</v>
      </c>
    </row>
    <row r="2351" spans="4:18" ht="24" customHeight="1">
      <c r="H2351" s="41" t="s">
        <v>2124</v>
      </c>
      <c r="K2351" s="41">
        <f>SUM(K2347:K2350)</f>
        <v>1024.02</v>
      </c>
      <c r="R2351" s="28" t="s">
        <v>2125</v>
      </c>
    </row>
    <row r="2352" spans="4:18" ht="24" customHeight="1">
      <c r="H2352" s="41" t="s">
        <v>2126</v>
      </c>
      <c r="K2352" s="41">
        <f>K2351/10</f>
        <v>102.402</v>
      </c>
      <c r="R2352" s="28">
        <v>0</v>
      </c>
    </row>
    <row r="2353" spans="6:18" ht="24" customHeight="1">
      <c r="H2353" s="41" t="s">
        <v>2127</v>
      </c>
      <c r="K2353" s="41">
        <f>K2352/3</f>
        <v>34.134</v>
      </c>
      <c r="N2353" s="29"/>
      <c r="O2353" s="719" t="s">
        <v>2128</v>
      </c>
      <c r="P2353" s="720"/>
      <c r="Q2353" s="720"/>
    </row>
    <row r="2354" spans="6:18" ht="24" customHeight="1">
      <c r="G2354" s="218" t="s">
        <v>2129</v>
      </c>
      <c r="H2354" s="139" t="s">
        <v>2130</v>
      </c>
      <c r="I2354" s="41">
        <f>I2356-K2352</f>
        <v>898.39421999999979</v>
      </c>
      <c r="K2354" s="41"/>
      <c r="M2354" s="28">
        <v>1</v>
      </c>
      <c r="N2354" s="29" t="s">
        <v>249</v>
      </c>
      <c r="O2354" s="28" t="s">
        <v>490</v>
      </c>
      <c r="P2354" s="28">
        <f>R2365</f>
        <v>430.1270491803279</v>
      </c>
      <c r="Q2354" s="31" t="s">
        <v>793</v>
      </c>
      <c r="R2354" s="28">
        <f>P2354*M2354</f>
        <v>430.1270491803279</v>
      </c>
    </row>
    <row r="2355" spans="6:18" ht="24" customHeight="1">
      <c r="G2355" s="101"/>
      <c r="H2355" s="139"/>
      <c r="I2355" s="41"/>
      <c r="K2355" s="41"/>
      <c r="M2355" s="32">
        <v>7.0999999999999994E-2</v>
      </c>
      <c r="N2355" s="29" t="s">
        <v>249</v>
      </c>
      <c r="O2355" s="28" t="s">
        <v>2119</v>
      </c>
      <c r="P2355" s="28">
        <f>P2346</f>
        <v>2529.8000000000002</v>
      </c>
      <c r="Q2355" s="31" t="s">
        <v>793</v>
      </c>
      <c r="R2355" s="28">
        <f>P2355*M2355</f>
        <v>179.61580000000001</v>
      </c>
    </row>
    <row r="2356" spans="6:18" ht="24" customHeight="1">
      <c r="G2356" s="218" t="s">
        <v>1064</v>
      </c>
      <c r="H2356" s="139" t="s">
        <v>2131</v>
      </c>
      <c r="I2356" s="41">
        <f>K770</f>
        <v>1000.7962199999998</v>
      </c>
      <c r="K2356" s="41"/>
      <c r="R2356" s="28" t="s">
        <v>2122</v>
      </c>
    </row>
    <row r="2357" spans="6:18" ht="24" customHeight="1">
      <c r="G2357" s="101"/>
      <c r="H2357" s="139"/>
      <c r="I2357" s="41"/>
      <c r="K2357" s="41"/>
      <c r="N2357" s="31"/>
      <c r="Q2357" s="31"/>
      <c r="R2357" s="41">
        <f>SUM(R2354:R2355)</f>
        <v>609.74284918032788</v>
      </c>
    </row>
    <row r="2358" spans="6:18" ht="24" customHeight="1">
      <c r="G2358" s="309" t="s">
        <v>1098</v>
      </c>
      <c r="H2358" s="310" t="s">
        <v>2132</v>
      </c>
      <c r="I2358" s="41">
        <f>I2356*1.2</f>
        <v>1200.9554639999997</v>
      </c>
      <c r="K2358" s="41"/>
      <c r="N2358" s="29"/>
      <c r="Q2358" s="31"/>
      <c r="R2358" s="28" t="s">
        <v>2122</v>
      </c>
    </row>
    <row r="2359" spans="6:18" ht="24" customHeight="1">
      <c r="G2359" s="218"/>
      <c r="H2359" s="139"/>
      <c r="K2359" s="41"/>
      <c r="M2359" s="28">
        <v>0.25</v>
      </c>
      <c r="N2359" s="29" t="s">
        <v>1130</v>
      </c>
      <c r="O2359" s="28" t="s">
        <v>2133</v>
      </c>
      <c r="P2359" s="28">
        <f>AG10</f>
        <v>1005.1999999999999</v>
      </c>
      <c r="Q2359" s="31"/>
      <c r="R2359" s="28">
        <f>P2359*M2359</f>
        <v>251.29999999999998</v>
      </c>
    </row>
    <row r="2360" spans="6:18" ht="24" customHeight="1">
      <c r="G2360" s="218" t="s">
        <v>2134</v>
      </c>
      <c r="H2360" s="139" t="s">
        <v>2135</v>
      </c>
      <c r="I2360" s="41">
        <f>I2356*1.1</f>
        <v>1100.8758419999999</v>
      </c>
      <c r="K2360" s="41"/>
      <c r="M2360" s="28">
        <v>1</v>
      </c>
      <c r="N2360" s="29" t="s">
        <v>1130</v>
      </c>
      <c r="O2360" s="28" t="s">
        <v>2136</v>
      </c>
      <c r="P2360" s="28">
        <f>AG11</f>
        <v>702.8</v>
      </c>
      <c r="R2360" s="28">
        <f>P2360*M2360</f>
        <v>702.8</v>
      </c>
    </row>
    <row r="2361" spans="6:18" ht="42" customHeight="1">
      <c r="H2361" s="139"/>
      <c r="K2361" s="41"/>
      <c r="M2361" s="28">
        <v>1</v>
      </c>
      <c r="N2361" s="28" t="s">
        <v>1130</v>
      </c>
      <c r="O2361" s="276" t="s">
        <v>2137</v>
      </c>
      <c r="P2361" s="28" t="s">
        <v>363</v>
      </c>
      <c r="R2361" s="28">
        <f>(R2359+R2360)*10%</f>
        <v>95.41</v>
      </c>
    </row>
    <row r="2362" spans="6:18" ht="24" customHeight="1">
      <c r="R2362" s="28" t="s">
        <v>2122</v>
      </c>
    </row>
    <row r="2363" spans="6:18" ht="24" customHeight="1">
      <c r="H2363" s="41" t="s">
        <v>2138</v>
      </c>
      <c r="R2363" s="41">
        <f>SUM(R2359:R2361)</f>
        <v>1049.51</v>
      </c>
    </row>
    <row r="2364" spans="6:18" ht="24" customHeight="1">
      <c r="F2364" s="28">
        <v>11.5</v>
      </c>
      <c r="G2364" s="29" t="s">
        <v>788</v>
      </c>
      <c r="H2364" s="135" t="s">
        <v>2139</v>
      </c>
      <c r="I2364" s="71">
        <v>186</v>
      </c>
      <c r="J2364" s="31" t="s">
        <v>788</v>
      </c>
      <c r="K2364" s="28">
        <f t="shared" ref="K2364:K2369" si="233">F2364*I2364</f>
        <v>2139</v>
      </c>
      <c r="R2364" s="28" t="s">
        <v>2122</v>
      </c>
    </row>
    <row r="2365" spans="6:18" ht="24" customHeight="1">
      <c r="F2365" s="28">
        <v>2</v>
      </c>
      <c r="G2365" s="29" t="s">
        <v>2140</v>
      </c>
      <c r="H2365" s="135" t="s">
        <v>2141</v>
      </c>
      <c r="I2365" s="71">
        <v>192.6</v>
      </c>
      <c r="J2365" s="31" t="s">
        <v>2142</v>
      </c>
      <c r="K2365" s="28">
        <f t="shared" si="233"/>
        <v>385.2</v>
      </c>
      <c r="R2365" s="28">
        <f>R2363/2.44</f>
        <v>430.1270491803279</v>
      </c>
    </row>
    <row r="2366" spans="6:18" ht="24" customHeight="1">
      <c r="F2366" s="28">
        <v>20</v>
      </c>
      <c r="G2366" s="29" t="s">
        <v>2143</v>
      </c>
      <c r="H2366" s="311" t="s">
        <v>2144</v>
      </c>
      <c r="I2366" s="71">
        <v>3.84</v>
      </c>
      <c r="J2366" s="31" t="s">
        <v>2143</v>
      </c>
      <c r="K2366" s="28">
        <f t="shared" si="233"/>
        <v>76.8</v>
      </c>
    </row>
    <row r="2367" spans="6:18" ht="24" customHeight="1">
      <c r="F2367" s="28">
        <v>2.2000000000000002</v>
      </c>
      <c r="G2367" s="29" t="s">
        <v>1130</v>
      </c>
      <c r="H2367" s="28" t="s">
        <v>2145</v>
      </c>
      <c r="I2367" s="28">
        <f>AG18</f>
        <v>923.99999999999989</v>
      </c>
      <c r="J2367" s="31" t="s">
        <v>793</v>
      </c>
      <c r="K2367" s="28">
        <f t="shared" si="233"/>
        <v>2032.8</v>
      </c>
    </row>
    <row r="2368" spans="6:18" ht="24" customHeight="1">
      <c r="F2368" s="28">
        <v>1.1000000000000001</v>
      </c>
      <c r="G2368" s="29" t="s">
        <v>1130</v>
      </c>
      <c r="H2368" s="28" t="s">
        <v>2146</v>
      </c>
      <c r="I2368" s="28">
        <f>C16</f>
        <v>1052.8</v>
      </c>
      <c r="J2368" s="31" t="s">
        <v>793</v>
      </c>
      <c r="K2368" s="28">
        <f t="shared" si="233"/>
        <v>1158.0800000000002</v>
      </c>
    </row>
    <row r="2369" spans="6:18" ht="24" customHeight="1">
      <c r="F2369" s="28">
        <v>3.2</v>
      </c>
      <c r="G2369" s="29" t="s">
        <v>1130</v>
      </c>
      <c r="H2369" s="28" t="s">
        <v>2147</v>
      </c>
      <c r="I2369" s="28">
        <f>C12</f>
        <v>702.8</v>
      </c>
      <c r="J2369" s="31" t="s">
        <v>793</v>
      </c>
      <c r="K2369" s="28">
        <f t="shared" si="233"/>
        <v>2248.96</v>
      </c>
      <c r="O2369" s="33"/>
    </row>
    <row r="2370" spans="6:18" ht="24" customHeight="1">
      <c r="H2370" s="28" t="s">
        <v>2148</v>
      </c>
      <c r="J2370" s="31" t="s">
        <v>106</v>
      </c>
      <c r="K2370" s="28">
        <v>0.5</v>
      </c>
      <c r="N2370" s="29"/>
      <c r="O2370" s="312" t="s">
        <v>2149</v>
      </c>
      <c r="Q2370" s="31"/>
    </row>
    <row r="2371" spans="6:18" ht="24" customHeight="1">
      <c r="K2371" s="80" t="s">
        <v>1430</v>
      </c>
      <c r="M2371" s="28">
        <v>11</v>
      </c>
      <c r="N2371" s="29" t="s">
        <v>788</v>
      </c>
      <c r="O2371" s="139" t="s">
        <v>2150</v>
      </c>
      <c r="P2371" s="66">
        <f>I2364</f>
        <v>186</v>
      </c>
      <c r="Q2371" s="31" t="s">
        <v>788</v>
      </c>
      <c r="R2371" s="28">
        <f>M2371*P2371</f>
        <v>2046</v>
      </c>
    </row>
    <row r="2372" spans="6:18" ht="24" customHeight="1">
      <c r="H2372" s="312" t="s">
        <v>2151</v>
      </c>
      <c r="K2372" s="41">
        <f>SUM(K2364:K2371)</f>
        <v>8041.34</v>
      </c>
      <c r="M2372" s="28">
        <v>20</v>
      </c>
      <c r="N2372" s="31" t="s">
        <v>1762</v>
      </c>
      <c r="O2372" s="139" t="s">
        <v>2152</v>
      </c>
      <c r="P2372" s="66">
        <f>I2366</f>
        <v>3.84</v>
      </c>
      <c r="Q2372" s="31" t="s">
        <v>1762</v>
      </c>
      <c r="R2372" s="28">
        <f>M2372*P2372</f>
        <v>76.8</v>
      </c>
    </row>
    <row r="2373" spans="6:18" ht="24" customHeight="1">
      <c r="K2373" s="80" t="s">
        <v>1430</v>
      </c>
      <c r="M2373" s="28">
        <v>2.2000000000000002</v>
      </c>
      <c r="N2373" s="29" t="s">
        <v>1130</v>
      </c>
      <c r="O2373" s="28" t="s">
        <v>2145</v>
      </c>
      <c r="P2373" s="28">
        <f>AG18</f>
        <v>923.99999999999989</v>
      </c>
      <c r="Q2373" s="31" t="s">
        <v>793</v>
      </c>
      <c r="R2373" s="28">
        <f>M2373*P2373</f>
        <v>2032.8</v>
      </c>
    </row>
    <row r="2374" spans="6:18" ht="24" customHeight="1">
      <c r="H2374" s="312" t="s">
        <v>1803</v>
      </c>
      <c r="I2374" s="28" t="s">
        <v>27</v>
      </c>
      <c r="K2374" s="41">
        <f>K2372/10</f>
        <v>804.13400000000001</v>
      </c>
      <c r="M2374" s="28">
        <v>1.1000000000000001</v>
      </c>
      <c r="N2374" s="29" t="s">
        <v>1130</v>
      </c>
      <c r="O2374" s="28" t="s">
        <v>2146</v>
      </c>
      <c r="P2374" s="28">
        <f>I2368</f>
        <v>1052.8</v>
      </c>
      <c r="Q2374" s="31" t="s">
        <v>793</v>
      </c>
      <c r="R2374" s="28">
        <f>M2374*P2374</f>
        <v>1158.0800000000002</v>
      </c>
    </row>
    <row r="2375" spans="6:18" ht="24" customHeight="1">
      <c r="K2375" s="80" t="s">
        <v>1430</v>
      </c>
      <c r="M2375" s="28">
        <v>3.2</v>
      </c>
      <c r="N2375" s="29" t="s">
        <v>1130</v>
      </c>
      <c r="O2375" s="28" t="s">
        <v>2147</v>
      </c>
      <c r="P2375" s="28">
        <f>I2369</f>
        <v>702.8</v>
      </c>
      <c r="Q2375" s="31" t="s">
        <v>793</v>
      </c>
      <c r="R2375" s="28">
        <f>M2375*P2375</f>
        <v>2248.96</v>
      </c>
    </row>
    <row r="2376" spans="6:18" ht="24" customHeight="1">
      <c r="N2376" s="29"/>
      <c r="O2376" s="28" t="s">
        <v>2148</v>
      </c>
      <c r="Q2376" s="31" t="s">
        <v>363</v>
      </c>
      <c r="R2376" s="28">
        <v>0.74</v>
      </c>
    </row>
    <row r="2378" spans="6:18" ht="39" customHeight="1">
      <c r="G2378" s="28"/>
      <c r="H2378" s="313" t="s">
        <v>2153</v>
      </c>
      <c r="N2378" s="29"/>
      <c r="Q2378" s="31"/>
      <c r="R2378" s="80" t="s">
        <v>1430</v>
      </c>
    </row>
    <row r="2379" spans="6:18" ht="24" customHeight="1">
      <c r="G2379" s="28"/>
      <c r="N2379" s="29"/>
      <c r="O2379" s="312" t="s">
        <v>2151</v>
      </c>
      <c r="Q2379" s="31"/>
      <c r="R2379" s="41">
        <f>SUM(R2371:R2378)</f>
        <v>7563.38</v>
      </c>
    </row>
    <row r="2380" spans="6:18" ht="24" customHeight="1">
      <c r="F2380" s="28" t="s">
        <v>385</v>
      </c>
      <c r="G2380" s="28"/>
      <c r="H2380" s="28" t="s">
        <v>2154</v>
      </c>
      <c r="N2380" s="29"/>
      <c r="Q2380" s="31"/>
      <c r="R2380" s="80" t="s">
        <v>1430</v>
      </c>
    </row>
    <row r="2381" spans="6:18" ht="24" customHeight="1">
      <c r="G2381" s="28"/>
      <c r="H2381" s="28" t="s">
        <v>2155</v>
      </c>
      <c r="N2381" s="29"/>
      <c r="O2381" s="312" t="s">
        <v>2156</v>
      </c>
      <c r="Q2381" s="31"/>
      <c r="R2381" s="41">
        <f>R2379/10</f>
        <v>756.33799999999997</v>
      </c>
    </row>
    <row r="2382" spans="6:18" ht="24" customHeight="1">
      <c r="G2382" s="28"/>
      <c r="N2382" s="29"/>
      <c r="Q2382" s="31"/>
      <c r="R2382" s="80" t="s">
        <v>1430</v>
      </c>
    </row>
    <row r="2383" spans="6:18" ht="24" customHeight="1">
      <c r="F2383" s="28">
        <v>1.96</v>
      </c>
      <c r="G2383" s="28" t="s">
        <v>249</v>
      </c>
      <c r="H2383" s="28" t="s">
        <v>2157</v>
      </c>
      <c r="I2383" s="28">
        <f>K1713</f>
        <v>7421.8380000000006</v>
      </c>
      <c r="J2383" s="26" t="s">
        <v>93</v>
      </c>
      <c r="K2383" s="40">
        <f t="shared" ref="K2383:K2388" si="234">(F2383*I2383)</f>
        <v>14546.80248</v>
      </c>
    </row>
    <row r="2384" spans="6:18" ht="24" customHeight="1">
      <c r="F2384" s="28">
        <v>2</v>
      </c>
      <c r="G2384" s="28" t="s">
        <v>1130</v>
      </c>
      <c r="H2384" s="28" t="s">
        <v>2158</v>
      </c>
      <c r="I2384" s="28">
        <f>C10</f>
        <v>1076.5999999999999</v>
      </c>
      <c r="J2384" s="26" t="s">
        <v>105</v>
      </c>
      <c r="K2384" s="40">
        <f t="shared" si="234"/>
        <v>2153.1999999999998</v>
      </c>
    </row>
    <row r="2385" spans="5:18" ht="24" customHeight="1">
      <c r="F2385" s="28">
        <v>2</v>
      </c>
      <c r="G2385" s="28" t="s">
        <v>1130</v>
      </c>
      <c r="H2385" s="28" t="s">
        <v>2159</v>
      </c>
      <c r="I2385" s="28">
        <f>C13</f>
        <v>576.79999999999995</v>
      </c>
      <c r="J2385" s="26" t="s">
        <v>105</v>
      </c>
      <c r="K2385" s="40">
        <f t="shared" si="234"/>
        <v>1153.5999999999999</v>
      </c>
      <c r="N2385" s="38" t="s">
        <v>67</v>
      </c>
      <c r="Q2385" s="31"/>
    </row>
    <row r="2386" spans="5:18" ht="24" customHeight="1">
      <c r="F2386" s="28">
        <v>0.28000000000000003</v>
      </c>
      <c r="G2386" s="28" t="s">
        <v>788</v>
      </c>
      <c r="H2386" s="28" t="s">
        <v>2160</v>
      </c>
      <c r="I2386" s="28">
        <f>I2354</f>
        <v>898.39421999999979</v>
      </c>
      <c r="J2386" s="26" t="s">
        <v>105</v>
      </c>
      <c r="K2386" s="40">
        <f t="shared" si="234"/>
        <v>251.55038159999995</v>
      </c>
      <c r="N2386" s="29"/>
      <c r="O2386" s="26" t="s">
        <v>2161</v>
      </c>
      <c r="Q2386" s="33"/>
    </row>
    <row r="2387" spans="5:18" ht="24" customHeight="1">
      <c r="F2387" s="28">
        <v>500</v>
      </c>
      <c r="G2387" s="28" t="s">
        <v>1130</v>
      </c>
      <c r="H2387" s="314" t="s">
        <v>2162</v>
      </c>
      <c r="I2387" s="28">
        <v>2</v>
      </c>
      <c r="J2387" s="26" t="s">
        <v>105</v>
      </c>
      <c r="K2387" s="40">
        <f t="shared" si="234"/>
        <v>1000</v>
      </c>
      <c r="N2387" s="29"/>
      <c r="O2387" s="26" t="s">
        <v>2163</v>
      </c>
      <c r="Q2387" s="33"/>
    </row>
    <row r="2388" spans="5:18" ht="24" customHeight="1">
      <c r="F2388" s="28">
        <v>8.5</v>
      </c>
      <c r="G2388" s="28" t="s">
        <v>2164</v>
      </c>
      <c r="H2388" s="315" t="s">
        <v>2165</v>
      </c>
      <c r="I2388" s="136">
        <v>43.6</v>
      </c>
      <c r="J2388" s="31" t="s">
        <v>2164</v>
      </c>
      <c r="K2388" s="40">
        <f t="shared" si="234"/>
        <v>370.6</v>
      </c>
      <c r="N2388" s="29"/>
      <c r="O2388" s="26" t="s">
        <v>2166</v>
      </c>
      <c r="Q2388" s="33"/>
    </row>
    <row r="2389" spans="5:18" ht="24" customHeight="1">
      <c r="G2389" s="28"/>
      <c r="H2389" s="28" t="s">
        <v>1236</v>
      </c>
      <c r="K2389" s="138">
        <v>1.96</v>
      </c>
      <c r="N2389" s="29"/>
      <c r="O2389" s="26" t="s">
        <v>2167</v>
      </c>
      <c r="Q2389" s="33"/>
    </row>
    <row r="2390" spans="5:18" ht="24" customHeight="1">
      <c r="G2390" s="28"/>
      <c r="I2390" s="28" t="s">
        <v>2168</v>
      </c>
      <c r="K2390" s="40">
        <f>SUM(K2383:K2389)</f>
        <v>19477.712861599994</v>
      </c>
      <c r="N2390" s="29"/>
      <c r="O2390" s="35" t="s">
        <v>48</v>
      </c>
      <c r="P2390" s="35" t="s">
        <v>48</v>
      </c>
      <c r="Q2390" s="33"/>
      <c r="R2390" s="40"/>
    </row>
    <row r="2391" spans="5:18" ht="24" customHeight="1">
      <c r="G2391" s="28"/>
      <c r="K2391" s="35" t="s">
        <v>48</v>
      </c>
      <c r="M2391" s="28">
        <v>8</v>
      </c>
      <c r="N2391" s="38" t="s">
        <v>1420</v>
      </c>
      <c r="O2391" s="26" t="s">
        <v>2169</v>
      </c>
      <c r="P2391" s="316">
        <v>4.0999999999999996</v>
      </c>
      <c r="Q2391" s="27" t="s">
        <v>793</v>
      </c>
      <c r="R2391" s="40">
        <f>P2391*M2391</f>
        <v>32.799999999999997</v>
      </c>
    </row>
    <row r="2392" spans="5:18" ht="24" customHeight="1">
      <c r="E2392" s="28">
        <f>23+26.65</f>
        <v>49.65</v>
      </c>
      <c r="G2392" s="28"/>
      <c r="I2392" s="28" t="s">
        <v>2111</v>
      </c>
      <c r="K2392" s="39">
        <f>K2390/39.2</f>
        <v>496.88043014285694</v>
      </c>
      <c r="M2392" s="28">
        <v>8</v>
      </c>
      <c r="N2392" s="38" t="s">
        <v>1420</v>
      </c>
      <c r="O2392" s="26" t="s">
        <v>2170</v>
      </c>
      <c r="P2392" s="316">
        <v>3.69</v>
      </c>
      <c r="Q2392" s="27" t="s">
        <v>793</v>
      </c>
      <c r="R2392" s="40">
        <f>P2392*M2392</f>
        <v>29.52</v>
      </c>
    </row>
    <row r="2393" spans="5:18" ht="24" customHeight="1">
      <c r="E2393" s="28">
        <f>E2392/2</f>
        <v>24.824999999999999</v>
      </c>
      <c r="G2393" s="28"/>
      <c r="K2393" s="35" t="s">
        <v>41</v>
      </c>
      <c r="M2393" s="28">
        <v>8</v>
      </c>
      <c r="N2393" s="38" t="s">
        <v>1420</v>
      </c>
      <c r="O2393" s="26" t="s">
        <v>2171</v>
      </c>
      <c r="P2393" s="316">
        <v>4.0999999999999996</v>
      </c>
      <c r="Q2393" s="27" t="s">
        <v>793</v>
      </c>
      <c r="R2393" s="40">
        <f>P2393*M2393</f>
        <v>32.799999999999997</v>
      </c>
    </row>
    <row r="2394" spans="5:18" ht="24" customHeight="1">
      <c r="G2394" s="28"/>
      <c r="M2394" s="28">
        <v>0.75</v>
      </c>
      <c r="N2394" s="38" t="s">
        <v>392</v>
      </c>
      <c r="O2394" s="26" t="s">
        <v>2172</v>
      </c>
      <c r="P2394" s="73">
        <v>176.4</v>
      </c>
      <c r="Q2394" s="27" t="s">
        <v>793</v>
      </c>
      <c r="R2394" s="40">
        <f t="shared" ref="R2394:R2399" si="235">(M2394*P2394)</f>
        <v>132.30000000000001</v>
      </c>
    </row>
    <row r="2395" spans="5:18" ht="24" customHeight="1">
      <c r="G2395" s="28"/>
      <c r="M2395" s="28">
        <v>2.25</v>
      </c>
      <c r="N2395" s="38" t="s">
        <v>2173</v>
      </c>
      <c r="O2395" s="26" t="s">
        <v>2174</v>
      </c>
      <c r="P2395" s="73">
        <v>140.41</v>
      </c>
      <c r="Q2395" s="27" t="s">
        <v>2173</v>
      </c>
      <c r="R2395" s="40">
        <f t="shared" si="235"/>
        <v>315.92250000000001</v>
      </c>
    </row>
    <row r="2396" spans="5:18" ht="24" customHeight="1">
      <c r="G2396" s="28"/>
      <c r="H2396" s="41" t="s">
        <v>27</v>
      </c>
      <c r="M2396" s="28">
        <v>4.5</v>
      </c>
      <c r="N2396" s="38" t="s">
        <v>2173</v>
      </c>
      <c r="O2396" s="26" t="s">
        <v>2175</v>
      </c>
      <c r="P2396" s="73">
        <v>65</v>
      </c>
      <c r="Q2396" s="27" t="s">
        <v>2173</v>
      </c>
      <c r="R2396" s="40">
        <f t="shared" si="235"/>
        <v>292.5</v>
      </c>
    </row>
    <row r="2397" spans="5:18" ht="34.5" customHeight="1">
      <c r="F2397" s="28">
        <v>1</v>
      </c>
      <c r="G2397" s="28" t="s">
        <v>1130</v>
      </c>
      <c r="H2397" s="317" t="s">
        <v>2176</v>
      </c>
      <c r="I2397" s="71">
        <v>446</v>
      </c>
      <c r="J2397" s="26" t="s">
        <v>105</v>
      </c>
      <c r="K2397" s="40">
        <f>(F2397*I2397)</f>
        <v>446</v>
      </c>
      <c r="M2397" s="28">
        <v>6</v>
      </c>
      <c r="N2397" s="38" t="s">
        <v>1420</v>
      </c>
      <c r="O2397" s="26" t="s">
        <v>2177</v>
      </c>
      <c r="P2397" s="73">
        <v>8</v>
      </c>
      <c r="Q2397" s="27" t="s">
        <v>793</v>
      </c>
      <c r="R2397" s="40">
        <f t="shared" si="235"/>
        <v>48</v>
      </c>
    </row>
    <row r="2398" spans="5:18" ht="24" customHeight="1">
      <c r="F2398" s="28">
        <v>0.25</v>
      </c>
      <c r="G2398" s="28" t="s">
        <v>1130</v>
      </c>
      <c r="H2398" s="28" t="s">
        <v>2158</v>
      </c>
      <c r="I2398" s="28">
        <f>I2384</f>
        <v>1076.5999999999999</v>
      </c>
      <c r="J2398" s="26" t="s">
        <v>105</v>
      </c>
      <c r="K2398" s="40">
        <f>(F2398*I2398)</f>
        <v>269.14999999999998</v>
      </c>
      <c r="M2398" s="28">
        <v>6</v>
      </c>
      <c r="N2398" s="38" t="s">
        <v>1420</v>
      </c>
      <c r="O2398" s="26" t="s">
        <v>2178</v>
      </c>
      <c r="P2398" s="73">
        <v>8.61</v>
      </c>
      <c r="Q2398" s="27" t="s">
        <v>793</v>
      </c>
      <c r="R2398" s="40">
        <f t="shared" si="235"/>
        <v>51.66</v>
      </c>
    </row>
    <row r="2399" spans="5:18" ht="24" customHeight="1">
      <c r="F2399" s="28">
        <v>0.28000000000000003</v>
      </c>
      <c r="G2399" s="28" t="s">
        <v>788</v>
      </c>
      <c r="H2399" s="28" t="s">
        <v>2094</v>
      </c>
      <c r="I2399" s="28">
        <f>C12</f>
        <v>702.8</v>
      </c>
      <c r="J2399" s="26" t="s">
        <v>105</v>
      </c>
      <c r="K2399" s="40">
        <f>(F2399*I2399)</f>
        <v>196.78399999999999</v>
      </c>
      <c r="M2399" s="28">
        <v>4</v>
      </c>
      <c r="N2399" s="38" t="s">
        <v>1420</v>
      </c>
      <c r="O2399" s="26" t="s">
        <v>2179</v>
      </c>
      <c r="P2399" s="73">
        <v>8.61</v>
      </c>
      <c r="Q2399" s="27" t="s">
        <v>793</v>
      </c>
      <c r="R2399" s="40">
        <f t="shared" si="235"/>
        <v>34.44</v>
      </c>
    </row>
    <row r="2400" spans="5:18" ht="24" customHeight="1">
      <c r="G2400" s="28"/>
      <c r="H2400" s="314"/>
      <c r="J2400" s="26"/>
      <c r="K2400" s="40"/>
      <c r="M2400" s="28">
        <v>300</v>
      </c>
      <c r="N2400" s="38" t="s">
        <v>2180</v>
      </c>
      <c r="O2400" s="26" t="s">
        <v>2181</v>
      </c>
      <c r="P2400" s="73">
        <v>30</v>
      </c>
      <c r="Q2400" s="27" t="s">
        <v>2182</v>
      </c>
      <c r="R2400" s="40">
        <f>P2400*M2400/100</f>
        <v>90</v>
      </c>
    </row>
    <row r="2401" spans="6:18" ht="24" customHeight="1">
      <c r="G2401" s="28"/>
      <c r="K2401" s="40"/>
      <c r="M2401" s="28">
        <v>300</v>
      </c>
      <c r="N2401" s="38" t="s">
        <v>2180</v>
      </c>
      <c r="O2401" s="26" t="s">
        <v>2183</v>
      </c>
      <c r="P2401" s="73">
        <v>44.99</v>
      </c>
      <c r="Q2401" s="27" t="s">
        <v>2184</v>
      </c>
      <c r="R2401" s="40">
        <f>P2401*M2401/500</f>
        <v>26.994</v>
      </c>
    </row>
    <row r="2402" spans="6:18" ht="24" customHeight="1">
      <c r="G2402" s="28"/>
      <c r="K2402" s="318" t="s">
        <v>1430</v>
      </c>
      <c r="M2402" s="28">
        <v>1.5</v>
      </c>
      <c r="N2402" s="38" t="s">
        <v>392</v>
      </c>
      <c r="O2402" s="26" t="s">
        <v>2185</v>
      </c>
      <c r="P2402" s="73">
        <v>20.95</v>
      </c>
      <c r="Q2402" s="27" t="s">
        <v>392</v>
      </c>
      <c r="R2402" s="40">
        <f>P2402*M2402</f>
        <v>31.424999999999997</v>
      </c>
    </row>
    <row r="2403" spans="6:18" ht="24" customHeight="1">
      <c r="G2403" s="28"/>
      <c r="K2403" s="39">
        <f>SUM(K2397:K2402)</f>
        <v>911.93399999999997</v>
      </c>
      <c r="M2403" s="28">
        <v>2.25</v>
      </c>
      <c r="N2403" s="38" t="s">
        <v>2173</v>
      </c>
      <c r="O2403" s="26" t="s">
        <v>2186</v>
      </c>
      <c r="P2403" s="73">
        <v>212.41</v>
      </c>
      <c r="Q2403" s="27" t="s">
        <v>2173</v>
      </c>
      <c r="R2403" s="40">
        <f>(M2403*P2403)</f>
        <v>477.92250000000001</v>
      </c>
    </row>
    <row r="2404" spans="6:18" ht="24" customHeight="1">
      <c r="G2404" s="28"/>
      <c r="K2404" s="318" t="s">
        <v>1430</v>
      </c>
      <c r="M2404" s="28">
        <v>0.75</v>
      </c>
      <c r="N2404" s="38" t="s">
        <v>2173</v>
      </c>
      <c r="O2404" s="26" t="s">
        <v>2187</v>
      </c>
      <c r="P2404" s="73">
        <v>205.21</v>
      </c>
      <c r="Q2404" s="27" t="s">
        <v>2173</v>
      </c>
      <c r="R2404" s="40">
        <f>(M2404*P2404)</f>
        <v>153.9075</v>
      </c>
    </row>
    <row r="2405" spans="6:18" ht="24" customHeight="1">
      <c r="G2405" s="28"/>
      <c r="K2405" s="40"/>
      <c r="M2405" s="28">
        <v>2.25</v>
      </c>
      <c r="N2405" s="38" t="s">
        <v>2173</v>
      </c>
      <c r="O2405" s="26" t="s">
        <v>2188</v>
      </c>
      <c r="P2405" s="73">
        <v>185.21</v>
      </c>
      <c r="Q2405" s="27" t="s">
        <v>2173</v>
      </c>
      <c r="R2405" s="40">
        <f>(M2405*P2405)</f>
        <v>416.72250000000003</v>
      </c>
    </row>
    <row r="2406" spans="6:18" ht="24" customHeight="1">
      <c r="G2406" s="28"/>
      <c r="M2406" s="28">
        <v>500</v>
      </c>
      <c r="N2406" s="38" t="s">
        <v>2180</v>
      </c>
      <c r="O2406" s="26" t="s">
        <v>2189</v>
      </c>
      <c r="P2406" s="73">
        <v>52.25</v>
      </c>
      <c r="Q2406" s="27" t="s">
        <v>392</v>
      </c>
      <c r="R2406" s="40">
        <f>(M2406*P2406)/1000</f>
        <v>26.125</v>
      </c>
    </row>
    <row r="2407" spans="6:18" ht="24" customHeight="1">
      <c r="G2407" s="28"/>
      <c r="H2407" s="41" t="s">
        <v>2190</v>
      </c>
      <c r="M2407" s="28">
        <v>1</v>
      </c>
      <c r="N2407" s="38" t="s">
        <v>1420</v>
      </c>
      <c r="O2407" s="26" t="s">
        <v>2191</v>
      </c>
      <c r="P2407" s="73">
        <v>131.21</v>
      </c>
      <c r="Q2407" s="33" t="s">
        <v>2192</v>
      </c>
      <c r="R2407" s="48">
        <f>P2407/1</f>
        <v>131.21</v>
      </c>
    </row>
    <row r="2408" spans="6:18" ht="24" customHeight="1">
      <c r="F2408" s="28">
        <v>1</v>
      </c>
      <c r="G2408" s="28" t="s">
        <v>1130</v>
      </c>
      <c r="H2408" s="135" t="s">
        <v>2193</v>
      </c>
      <c r="I2408" s="28">
        <f>C619</f>
        <v>922</v>
      </c>
      <c r="J2408" s="26" t="s">
        <v>105</v>
      </c>
      <c r="K2408" s="40">
        <f>(F2408*I2408)</f>
        <v>922</v>
      </c>
      <c r="M2408" s="28">
        <v>1</v>
      </c>
      <c r="N2408" s="38" t="s">
        <v>1420</v>
      </c>
      <c r="O2408" s="26" t="s">
        <v>2194</v>
      </c>
      <c r="P2408" s="73">
        <v>12.3</v>
      </c>
      <c r="Q2408" s="33" t="s">
        <v>2192</v>
      </c>
      <c r="R2408" s="48">
        <f>P2408/1</f>
        <v>12.3</v>
      </c>
    </row>
    <row r="2409" spans="6:18" ht="24" customHeight="1">
      <c r="F2409" s="28">
        <v>0.5</v>
      </c>
      <c r="G2409" s="28" t="s">
        <v>1130</v>
      </c>
      <c r="H2409" s="28" t="s">
        <v>2195</v>
      </c>
      <c r="I2409" s="28">
        <f>C15</f>
        <v>933.8</v>
      </c>
      <c r="J2409" s="26" t="s">
        <v>105</v>
      </c>
      <c r="K2409" s="40">
        <f>(F2409*I2409)</f>
        <v>466.9</v>
      </c>
      <c r="M2409" s="28">
        <v>4</v>
      </c>
      <c r="N2409" s="38" t="s">
        <v>1420</v>
      </c>
      <c r="O2409" s="96" t="s">
        <v>2196</v>
      </c>
      <c r="P2409" s="40">
        <f>AG13</f>
        <v>861</v>
      </c>
      <c r="Q2409" s="27" t="s">
        <v>793</v>
      </c>
      <c r="R2409" s="40">
        <f>(M2409*P2409)</f>
        <v>3444</v>
      </c>
    </row>
    <row r="2410" spans="6:18" ht="24" customHeight="1">
      <c r="F2410" s="28">
        <v>0.5</v>
      </c>
      <c r="G2410" s="28" t="s">
        <v>1130</v>
      </c>
      <c r="H2410" s="28" t="s">
        <v>2158</v>
      </c>
      <c r="I2410" s="28">
        <f>I2398</f>
        <v>1076.5999999999999</v>
      </c>
      <c r="J2410" s="26" t="s">
        <v>105</v>
      </c>
      <c r="K2410" s="40">
        <f>(F2410*I2410)</f>
        <v>538.29999999999995</v>
      </c>
      <c r="M2410" s="28">
        <v>2</v>
      </c>
      <c r="N2410" s="38" t="s">
        <v>1420</v>
      </c>
      <c r="O2410" s="96" t="s">
        <v>2197</v>
      </c>
      <c r="P2410" s="40">
        <f>AG14</f>
        <v>833</v>
      </c>
      <c r="Q2410" s="27" t="s">
        <v>793</v>
      </c>
      <c r="R2410" s="40">
        <f>(M2410*P2410)</f>
        <v>1666</v>
      </c>
    </row>
    <row r="2411" spans="6:18" ht="24" customHeight="1">
      <c r="F2411" s="28">
        <v>0.5</v>
      </c>
      <c r="G2411" s="28" t="s">
        <v>788</v>
      </c>
      <c r="H2411" s="28" t="s">
        <v>2094</v>
      </c>
      <c r="I2411" s="28">
        <f>I2399</f>
        <v>702.8</v>
      </c>
      <c r="J2411" s="26" t="s">
        <v>105</v>
      </c>
      <c r="K2411" s="40">
        <f>(F2411*I2411)</f>
        <v>351.4</v>
      </c>
      <c r="M2411" s="28">
        <v>2</v>
      </c>
      <c r="N2411" s="38" t="s">
        <v>1420</v>
      </c>
      <c r="O2411" s="96" t="s">
        <v>2198</v>
      </c>
      <c r="P2411" s="40">
        <f>AG12</f>
        <v>576.79999999999995</v>
      </c>
      <c r="Q2411" s="27" t="s">
        <v>793</v>
      </c>
      <c r="R2411" s="40">
        <f>(M2411*P2411)</f>
        <v>1153.5999999999999</v>
      </c>
    </row>
    <row r="2412" spans="6:18" ht="24" customHeight="1">
      <c r="G2412" s="28"/>
      <c r="H2412" s="28" t="s">
        <v>2199</v>
      </c>
      <c r="J2412" s="27" t="s">
        <v>2200</v>
      </c>
      <c r="K2412" s="40">
        <v>0.25</v>
      </c>
      <c r="N2412" s="38"/>
      <c r="O2412" s="26" t="s">
        <v>2201</v>
      </c>
      <c r="P2412" s="40"/>
      <c r="Q2412" s="27"/>
      <c r="R2412" s="40">
        <v>20</v>
      </c>
    </row>
    <row r="2413" spans="6:18" ht="24" customHeight="1">
      <c r="G2413" s="28"/>
      <c r="K2413" s="40"/>
      <c r="N2413" s="29"/>
      <c r="P2413" s="40"/>
      <c r="Q2413" s="31"/>
      <c r="R2413" s="80" t="s">
        <v>2202</v>
      </c>
    </row>
    <row r="2414" spans="6:18" ht="24" customHeight="1">
      <c r="G2414" s="28"/>
      <c r="K2414" s="318" t="s">
        <v>1430</v>
      </c>
      <c r="N2414" s="29"/>
      <c r="O2414" s="26" t="s">
        <v>2203</v>
      </c>
      <c r="Q2414" s="31"/>
      <c r="R2414" s="28">
        <f>SUM(R2391:R2413)</f>
        <v>8620.1489999999994</v>
      </c>
    </row>
    <row r="2415" spans="6:18" ht="26.25" customHeight="1">
      <c r="G2415" s="28"/>
      <c r="K2415" s="39">
        <f>SUM(K2408:K2414)</f>
        <v>2278.85</v>
      </c>
      <c r="N2415" s="29"/>
      <c r="O2415" s="41"/>
      <c r="P2415" s="41"/>
      <c r="Q2415" s="86"/>
      <c r="R2415" s="35" t="s">
        <v>41</v>
      </c>
    </row>
    <row r="2416" spans="6:18" ht="24" customHeight="1">
      <c r="G2416" s="28"/>
      <c r="K2416" s="318" t="s">
        <v>1430</v>
      </c>
      <c r="N2416" s="29"/>
      <c r="O2416" s="41" t="s">
        <v>2204</v>
      </c>
      <c r="P2416" s="41"/>
      <c r="Q2416" s="86"/>
      <c r="R2416" s="37">
        <f>R2414/5.67</f>
        <v>1520.3084656084654</v>
      </c>
    </row>
    <row r="2417" spans="6:18" ht="32.25" customHeight="1">
      <c r="G2417" s="28"/>
      <c r="K2417" s="27"/>
    </row>
    <row r="2418" spans="6:18" ht="24" customHeight="1">
      <c r="G2418" s="28"/>
      <c r="K2418" s="27"/>
    </row>
    <row r="2419" spans="6:18" ht="24" customHeight="1">
      <c r="G2419" s="28"/>
      <c r="K2419" s="27"/>
    </row>
    <row r="2420" spans="6:18" ht="24" customHeight="1">
      <c r="F2420" s="103" t="s">
        <v>1489</v>
      </c>
      <c r="G2420" s="103"/>
      <c r="H2420" s="721" t="s">
        <v>2205</v>
      </c>
      <c r="I2420" s="721"/>
      <c r="J2420" s="721"/>
      <c r="K2420" s="721"/>
    </row>
    <row r="2421" spans="6:18" ht="24" customHeight="1">
      <c r="F2421" s="103"/>
      <c r="G2421" s="103"/>
      <c r="H2421" s="103"/>
      <c r="I2421" s="103"/>
      <c r="J2421" s="172"/>
      <c r="K2421" s="139"/>
    </row>
    <row r="2422" spans="6:18" ht="24" customHeight="1">
      <c r="F2422" s="48">
        <v>10.5</v>
      </c>
      <c r="G2422" s="273" t="s">
        <v>788</v>
      </c>
      <c r="H2422" s="722" t="s">
        <v>2206</v>
      </c>
      <c r="I2422" s="47">
        <v>312</v>
      </c>
      <c r="J2422" s="78" t="s">
        <v>788</v>
      </c>
      <c r="K2422" s="48">
        <f>(F2422*I2422)</f>
        <v>3276</v>
      </c>
    </row>
    <row r="2423" spans="6:18" ht="24" customHeight="1">
      <c r="F2423" s="139"/>
      <c r="G2423" s="171"/>
      <c r="H2423" s="723"/>
      <c r="I2423" s="78" t="s">
        <v>27</v>
      </c>
      <c r="J2423" s="172"/>
      <c r="K2423" s="78" t="s">
        <v>27</v>
      </c>
    </row>
    <row r="2424" spans="6:18" ht="24" customHeight="1">
      <c r="F2424" s="48">
        <v>0.22</v>
      </c>
      <c r="G2424" s="273" t="s">
        <v>93</v>
      </c>
      <c r="H2424" s="78" t="s">
        <v>1488</v>
      </c>
      <c r="I2424" s="48">
        <f>K32</f>
        <v>5671.64</v>
      </c>
      <c r="J2424" s="78" t="s">
        <v>93</v>
      </c>
      <c r="K2424" s="48">
        <f>(F2424*I2424)</f>
        <v>1247.7608</v>
      </c>
    </row>
    <row r="2425" spans="6:18" ht="24" customHeight="1">
      <c r="F2425" s="48">
        <v>64</v>
      </c>
      <c r="G2425" s="273" t="s">
        <v>392</v>
      </c>
      <c r="H2425" s="78" t="s">
        <v>2207</v>
      </c>
      <c r="I2425" s="48">
        <f>C67</f>
        <v>5800</v>
      </c>
      <c r="J2425" s="78" t="s">
        <v>2208</v>
      </c>
      <c r="K2425" s="48">
        <f>I2425*F2425/1000</f>
        <v>371.2</v>
      </c>
    </row>
    <row r="2426" spans="6:18" ht="24" customHeight="1">
      <c r="F2426" s="48">
        <v>4.5</v>
      </c>
      <c r="G2426" s="273" t="s">
        <v>392</v>
      </c>
      <c r="H2426" s="319" t="s">
        <v>2209</v>
      </c>
      <c r="I2426" s="48">
        <f>C608</f>
        <v>24.5</v>
      </c>
      <c r="J2426" s="78" t="s">
        <v>392</v>
      </c>
      <c r="K2426" s="48">
        <f>F2426*I2426</f>
        <v>110.25</v>
      </c>
    </row>
    <row r="2427" spans="6:18" ht="24" customHeight="1">
      <c r="F2427" s="48">
        <v>5.4</v>
      </c>
      <c r="G2427" s="273" t="s">
        <v>196</v>
      </c>
      <c r="H2427" s="26" t="s">
        <v>2210</v>
      </c>
      <c r="I2427" s="48">
        <f>C11</f>
        <v>1005.1999999999999</v>
      </c>
      <c r="J2427" s="78" t="s">
        <v>196</v>
      </c>
      <c r="K2427" s="48">
        <f>(F2427*I2427)</f>
        <v>5428.08</v>
      </c>
      <c r="M2427" s="103" t="s">
        <v>1489</v>
      </c>
      <c r="N2427" s="103"/>
      <c r="O2427" s="724" t="s">
        <v>2211</v>
      </c>
      <c r="P2427" s="724"/>
      <c r="Q2427" s="724"/>
      <c r="R2427" s="724"/>
    </row>
    <row r="2428" spans="6:18" ht="24" customHeight="1">
      <c r="F2428" s="48">
        <v>2.16</v>
      </c>
      <c r="G2428" s="273" t="s">
        <v>196</v>
      </c>
      <c r="H2428" s="78" t="s">
        <v>1450</v>
      </c>
      <c r="I2428" s="48">
        <f>C12</f>
        <v>702.8</v>
      </c>
      <c r="J2428" s="78" t="s">
        <v>196</v>
      </c>
      <c r="K2428" s="48">
        <f>(F2428*I2428)</f>
        <v>1518.048</v>
      </c>
      <c r="M2428" s="103"/>
      <c r="N2428" s="103"/>
      <c r="O2428" s="103"/>
      <c r="P2428" s="103"/>
      <c r="Q2428" s="172"/>
      <c r="R2428" s="139"/>
    </row>
    <row r="2429" spans="6:18" ht="24" customHeight="1">
      <c r="F2429" s="48">
        <v>6.5</v>
      </c>
      <c r="G2429" s="273" t="s">
        <v>196</v>
      </c>
      <c r="H2429" s="78" t="s">
        <v>1451</v>
      </c>
      <c r="I2429" s="48">
        <f>C13</f>
        <v>576.79999999999995</v>
      </c>
      <c r="J2429" s="78" t="s">
        <v>196</v>
      </c>
      <c r="K2429" s="48">
        <f>(F2429*I2429)</f>
        <v>3749.2</v>
      </c>
      <c r="M2429" s="48">
        <v>10.5</v>
      </c>
      <c r="N2429" s="273" t="s">
        <v>788</v>
      </c>
      <c r="O2429" s="725" t="s">
        <v>2212</v>
      </c>
      <c r="P2429" s="49">
        <v>476</v>
      </c>
      <c r="Q2429" s="78" t="s">
        <v>788</v>
      </c>
      <c r="R2429" s="48">
        <f>(M2429*P2429)</f>
        <v>4998</v>
      </c>
    </row>
    <row r="2430" spans="6:18" ht="24" customHeight="1">
      <c r="F2430" s="48"/>
      <c r="G2430" s="273"/>
      <c r="H2430" s="78"/>
      <c r="I2430" s="48"/>
      <c r="J2430" s="78" t="s">
        <v>196</v>
      </c>
      <c r="K2430" s="48">
        <v>0</v>
      </c>
      <c r="M2430" s="139"/>
      <c r="N2430" s="171"/>
      <c r="O2430" s="726"/>
      <c r="P2430" s="78" t="s">
        <v>27</v>
      </c>
      <c r="Q2430" s="172"/>
      <c r="R2430" s="78" t="s">
        <v>27</v>
      </c>
    </row>
    <row r="2431" spans="6:18" ht="24" customHeight="1">
      <c r="F2431" s="320"/>
      <c r="G2431" s="273"/>
      <c r="H2431" s="139"/>
      <c r="I2431" s="48"/>
      <c r="J2431" s="78"/>
      <c r="K2431" s="48"/>
      <c r="M2431" s="48">
        <v>0.22</v>
      </c>
      <c r="N2431" s="273" t="s">
        <v>93</v>
      </c>
      <c r="O2431" s="78" t="s">
        <v>1488</v>
      </c>
      <c r="P2431" s="48">
        <f t="shared" ref="P2431:P2436" si="236">I2424</f>
        <v>5671.64</v>
      </c>
      <c r="Q2431" s="78" t="s">
        <v>93</v>
      </c>
      <c r="R2431" s="48">
        <f>(M2431*P2431)</f>
        <v>1247.7608</v>
      </c>
    </row>
    <row r="2432" spans="6:18" ht="24" customHeight="1">
      <c r="F2432" s="48"/>
      <c r="G2432" s="273"/>
      <c r="H2432" s="30" t="s">
        <v>401</v>
      </c>
      <c r="I2432" s="139"/>
      <c r="J2432" s="172"/>
      <c r="K2432" s="321" t="s">
        <v>1430</v>
      </c>
      <c r="M2432" s="48">
        <v>64</v>
      </c>
      <c r="N2432" s="273" t="s">
        <v>392</v>
      </c>
      <c r="O2432" s="78" t="s">
        <v>2207</v>
      </c>
      <c r="P2432" s="48">
        <f t="shared" si="236"/>
        <v>5800</v>
      </c>
      <c r="Q2432" s="78" t="s">
        <v>2208</v>
      </c>
      <c r="R2432" s="48">
        <f>P2432*M2432/1000</f>
        <v>371.2</v>
      </c>
    </row>
    <row r="2433" spans="6:18" ht="24" customHeight="1">
      <c r="F2433" s="48"/>
      <c r="G2433" s="273"/>
      <c r="H2433" s="30"/>
      <c r="I2433" s="139"/>
      <c r="J2433" s="172"/>
      <c r="K2433" s="39">
        <f>SUM(K2422:K2430)</f>
        <v>15700.538799999998</v>
      </c>
      <c r="M2433" s="48">
        <v>4.5</v>
      </c>
      <c r="N2433" s="273" t="s">
        <v>392</v>
      </c>
      <c r="O2433" s="78" t="s">
        <v>2213</v>
      </c>
      <c r="P2433" s="48">
        <f t="shared" si="236"/>
        <v>24.5</v>
      </c>
      <c r="Q2433" s="78" t="s">
        <v>392</v>
      </c>
      <c r="R2433" s="48">
        <f>M2433*P2433</f>
        <v>110.25</v>
      </c>
    </row>
    <row r="2434" spans="6:18" ht="24" customHeight="1">
      <c r="F2434" s="48"/>
      <c r="G2434" s="273"/>
      <c r="H2434" s="30"/>
      <c r="I2434" s="48"/>
      <c r="J2434" s="78"/>
      <c r="K2434" s="322" t="s">
        <v>582</v>
      </c>
      <c r="M2434" s="48">
        <v>5.4</v>
      </c>
      <c r="N2434" s="273" t="s">
        <v>196</v>
      </c>
      <c r="O2434" s="78" t="s">
        <v>2210</v>
      </c>
      <c r="P2434" s="48">
        <f t="shared" si="236"/>
        <v>1005.1999999999999</v>
      </c>
      <c r="Q2434" s="78" t="s">
        <v>196</v>
      </c>
      <c r="R2434" s="48">
        <f>(M2434*P2434)</f>
        <v>5428.08</v>
      </c>
    </row>
    <row r="2435" spans="6:18" ht="24" customHeight="1">
      <c r="F2435" s="78"/>
      <c r="G2435" s="171"/>
      <c r="H2435" s="30" t="s">
        <v>403</v>
      </c>
      <c r="I2435" s="78"/>
      <c r="J2435" s="172"/>
      <c r="K2435" s="37">
        <f>K2433/10</f>
        <v>1570.0538799999999</v>
      </c>
      <c r="M2435" s="48">
        <v>2.16</v>
      </c>
      <c r="N2435" s="273" t="s">
        <v>196</v>
      </c>
      <c r="O2435" s="78" t="s">
        <v>1450</v>
      </c>
      <c r="P2435" s="48">
        <f t="shared" si="236"/>
        <v>702.8</v>
      </c>
      <c r="Q2435" s="78" t="s">
        <v>196</v>
      </c>
      <c r="R2435" s="48">
        <f>(M2435*P2435)</f>
        <v>1518.048</v>
      </c>
    </row>
    <row r="2436" spans="6:18" ht="24" customHeight="1">
      <c r="K2436" s="80" t="s">
        <v>1430</v>
      </c>
      <c r="M2436" s="48">
        <v>6.5</v>
      </c>
      <c r="N2436" s="273" t="s">
        <v>196</v>
      </c>
      <c r="O2436" s="78" t="s">
        <v>1451</v>
      </c>
      <c r="P2436" s="48">
        <f t="shared" si="236"/>
        <v>576.79999999999995</v>
      </c>
      <c r="Q2436" s="78" t="s">
        <v>196</v>
      </c>
      <c r="R2436" s="48">
        <f>(M2436*P2436)</f>
        <v>3749.2</v>
      </c>
    </row>
    <row r="2437" spans="6:18" ht="24" customHeight="1">
      <c r="M2437" s="48"/>
      <c r="N2437" s="273"/>
      <c r="O2437" s="78"/>
      <c r="P2437" s="48"/>
      <c r="Q2437" s="78" t="s">
        <v>196</v>
      </c>
      <c r="R2437" s="48">
        <f>(M2437*P2437)</f>
        <v>0</v>
      </c>
    </row>
    <row r="2438" spans="6:18" ht="24" customHeight="1">
      <c r="M2438" s="320"/>
      <c r="N2438" s="273"/>
      <c r="O2438" s="139"/>
      <c r="P2438" s="48"/>
      <c r="Q2438" s="78"/>
      <c r="R2438" s="48"/>
    </row>
    <row r="2439" spans="6:18" ht="24" customHeight="1">
      <c r="F2439" s="48"/>
      <c r="G2439" s="273"/>
      <c r="H2439" s="30" t="s">
        <v>2214</v>
      </c>
      <c r="I2439" s="48"/>
      <c r="J2439" s="78"/>
      <c r="K2439" s="48"/>
      <c r="M2439" s="48"/>
      <c r="N2439" s="273"/>
      <c r="O2439" s="30" t="s">
        <v>401</v>
      </c>
      <c r="P2439" s="139"/>
      <c r="Q2439" s="172"/>
      <c r="R2439" s="321" t="s">
        <v>1430</v>
      </c>
    </row>
    <row r="2440" spans="6:18" ht="24" customHeight="1">
      <c r="F2440" s="48"/>
      <c r="G2440" s="273"/>
      <c r="H2440" s="139"/>
      <c r="I2440" s="48"/>
      <c r="J2440" s="78"/>
      <c r="K2440" s="139"/>
      <c r="M2440" s="48"/>
      <c r="N2440" s="273"/>
      <c r="O2440" s="30"/>
      <c r="P2440" s="139"/>
      <c r="Q2440" s="172"/>
      <c r="R2440" s="39">
        <f>SUM(R2429:R2437)</f>
        <v>17422.538799999998</v>
      </c>
    </row>
    <row r="2441" spans="6:18" ht="24" customHeight="1">
      <c r="F2441" s="48">
        <v>10</v>
      </c>
      <c r="G2441" s="273" t="s">
        <v>788</v>
      </c>
      <c r="H2441" s="78" t="s">
        <v>2215</v>
      </c>
      <c r="I2441" s="48">
        <f>K1213</f>
        <v>566.53208000000006</v>
      </c>
      <c r="J2441" s="78" t="s">
        <v>788</v>
      </c>
      <c r="K2441" s="48">
        <f>F2441*I2441</f>
        <v>5665.3208000000004</v>
      </c>
      <c r="M2441" s="48"/>
      <c r="N2441" s="273"/>
      <c r="O2441" s="30"/>
      <c r="P2441" s="48"/>
      <c r="Q2441" s="78"/>
      <c r="R2441" s="322" t="s">
        <v>582</v>
      </c>
    </row>
    <row r="2442" spans="6:18" ht="24" customHeight="1">
      <c r="F2442" s="139">
        <v>9.8000000000000007</v>
      </c>
      <c r="G2442" s="273" t="s">
        <v>392</v>
      </c>
      <c r="H2442" s="28" t="s">
        <v>2216</v>
      </c>
      <c r="I2442" s="48">
        <f>C148</f>
        <v>142.4</v>
      </c>
      <c r="J2442" s="78" t="s">
        <v>392</v>
      </c>
      <c r="K2442" s="48">
        <f>F2442*I2442</f>
        <v>1395.5200000000002</v>
      </c>
      <c r="M2442" s="78"/>
      <c r="N2442" s="171"/>
      <c r="O2442" s="30" t="s">
        <v>403</v>
      </c>
      <c r="P2442" s="78"/>
      <c r="Q2442" s="172"/>
      <c r="R2442" s="37">
        <f>R2440/10</f>
        <v>1742.2538799999998</v>
      </c>
    </row>
    <row r="2443" spans="6:18" ht="24" customHeight="1">
      <c r="F2443" s="139">
        <v>1.1000000000000001</v>
      </c>
      <c r="G2443" s="171" t="s">
        <v>1420</v>
      </c>
      <c r="H2443" s="78" t="s">
        <v>298</v>
      </c>
      <c r="I2443" s="139">
        <f>I2410</f>
        <v>1076.5999999999999</v>
      </c>
      <c r="J2443" s="172" t="s">
        <v>793</v>
      </c>
      <c r="K2443" s="139">
        <f>F2443*I2443</f>
        <v>1184.26</v>
      </c>
      <c r="N2443" s="29"/>
      <c r="Q2443" s="31"/>
      <c r="R2443" s="80" t="s">
        <v>1430</v>
      </c>
    </row>
    <row r="2444" spans="6:18" ht="24" customHeight="1">
      <c r="F2444" s="139"/>
      <c r="G2444" s="171"/>
      <c r="H2444" s="28" t="s">
        <v>1236</v>
      </c>
      <c r="I2444" s="139"/>
      <c r="J2444" s="172"/>
      <c r="K2444" s="139">
        <v>0.2</v>
      </c>
    </row>
    <row r="2445" spans="6:18" ht="24" customHeight="1">
      <c r="F2445" s="139"/>
      <c r="G2445" s="171"/>
      <c r="H2445" s="139"/>
      <c r="I2445" s="139"/>
      <c r="J2445" s="172"/>
      <c r="K2445" s="95" t="s">
        <v>41</v>
      </c>
    </row>
    <row r="2446" spans="6:18" ht="24" customHeight="1">
      <c r="F2446" s="78" t="s">
        <v>27</v>
      </c>
      <c r="G2446" s="171"/>
      <c r="H2446" s="30" t="s">
        <v>401</v>
      </c>
      <c r="I2446" s="139"/>
      <c r="J2446" s="172"/>
      <c r="K2446" s="41">
        <f>SUM(K2441:K2444)</f>
        <v>8245.3008000000009</v>
      </c>
    </row>
    <row r="2447" spans="6:18" ht="24" customHeight="1">
      <c r="F2447" s="139"/>
      <c r="G2447" s="171"/>
      <c r="H2447" s="139"/>
      <c r="I2447" s="139"/>
      <c r="J2447" s="172"/>
      <c r="K2447" s="323" t="s">
        <v>1430</v>
      </c>
    </row>
    <row r="2448" spans="6:18" ht="24" customHeight="1">
      <c r="F2448" s="78" t="s">
        <v>27</v>
      </c>
      <c r="G2448" s="171"/>
      <c r="H2448" s="30" t="s">
        <v>403</v>
      </c>
      <c r="I2448" s="139"/>
      <c r="J2448" s="172"/>
      <c r="K2448" s="37">
        <f>K2446/10</f>
        <v>824.53008000000011</v>
      </c>
    </row>
    <row r="2449" spans="6:11" ht="24" customHeight="1">
      <c r="F2449" s="139"/>
      <c r="G2449" s="171"/>
      <c r="I2449" s="139"/>
      <c r="J2449" s="172"/>
      <c r="K2449" s="80" t="s">
        <v>1430</v>
      </c>
    </row>
    <row r="2450" spans="6:11" ht="24" customHeight="1">
      <c r="F2450" s="139"/>
      <c r="G2450" s="171"/>
      <c r="H2450" s="139"/>
      <c r="I2450" s="139"/>
      <c r="J2450" s="172"/>
      <c r="K2450" s="139"/>
    </row>
    <row r="2451" spans="6:11" ht="24" customHeight="1">
      <c r="F2451" s="139"/>
      <c r="G2451" s="171"/>
      <c r="H2451" s="139"/>
      <c r="I2451" s="139"/>
      <c r="J2451" s="172"/>
      <c r="K2451" s="139"/>
    </row>
    <row r="2452" spans="6:11" ht="24" customHeight="1">
      <c r="F2452" s="139"/>
      <c r="G2452" s="171"/>
      <c r="H2452" s="139"/>
      <c r="I2452" s="139"/>
      <c r="J2452" s="172"/>
      <c r="K2452" s="139"/>
    </row>
    <row r="2453" spans="6:11" ht="24" customHeight="1">
      <c r="F2453" s="139"/>
      <c r="G2453" s="171"/>
      <c r="H2453" s="139"/>
      <c r="I2453" s="139"/>
      <c r="J2453" s="172"/>
      <c r="K2453" s="139"/>
    </row>
    <row r="2454" spans="6:11" ht="24" customHeight="1">
      <c r="F2454" s="139"/>
      <c r="G2454" s="171"/>
      <c r="H2454" s="41" t="s">
        <v>2217</v>
      </c>
      <c r="I2454" s="139"/>
      <c r="J2454" s="172"/>
      <c r="K2454" s="139"/>
    </row>
    <row r="2455" spans="6:11" ht="24" customHeight="1">
      <c r="F2455" s="139"/>
      <c r="G2455" s="171"/>
      <c r="H2455" s="139"/>
      <c r="I2455" s="139"/>
      <c r="J2455" s="172"/>
      <c r="K2455" s="139"/>
    </row>
    <row r="2456" spans="6:11" ht="24" customHeight="1">
      <c r="F2456" s="172" t="s">
        <v>2218</v>
      </c>
      <c r="G2456" s="172"/>
      <c r="H2456" s="172"/>
      <c r="I2456" s="139">
        <v>15.21</v>
      </c>
      <c r="J2456" s="172" t="s">
        <v>1840</v>
      </c>
      <c r="K2456" s="139"/>
    </row>
    <row r="2457" spans="6:11" ht="24" customHeight="1">
      <c r="F2457" s="139" t="s">
        <v>2219</v>
      </c>
      <c r="G2457" s="171"/>
      <c r="H2457" s="139"/>
      <c r="I2457" s="139">
        <v>22.61</v>
      </c>
      <c r="J2457" s="172" t="s">
        <v>1840</v>
      </c>
      <c r="K2457" s="139"/>
    </row>
    <row r="2458" spans="6:11" ht="24" customHeight="1">
      <c r="F2458" s="139" t="s">
        <v>2220</v>
      </c>
      <c r="G2458" s="171"/>
      <c r="H2458" s="139"/>
      <c r="I2458" s="139">
        <v>3.24</v>
      </c>
      <c r="J2458" s="172" t="s">
        <v>1840</v>
      </c>
      <c r="K2458" s="139"/>
    </row>
    <row r="2459" spans="6:11" ht="24" customHeight="1">
      <c r="F2459" s="139" t="s">
        <v>2221</v>
      </c>
      <c r="G2459" s="171"/>
      <c r="H2459" s="139"/>
      <c r="I2459" s="139">
        <v>2.16</v>
      </c>
      <c r="J2459" s="172" t="s">
        <v>1840</v>
      </c>
      <c r="K2459" s="139"/>
    </row>
    <row r="2460" spans="6:11" ht="24" customHeight="1">
      <c r="F2460" s="139"/>
      <c r="G2460" s="171"/>
      <c r="H2460" s="139"/>
      <c r="I2460" s="139"/>
      <c r="J2460" s="172"/>
      <c r="K2460" s="139"/>
    </row>
    <row r="2461" spans="6:11" ht="24" customHeight="1">
      <c r="F2461" s="139"/>
      <c r="G2461" s="171"/>
      <c r="H2461" s="139"/>
      <c r="I2461" s="175" t="s">
        <v>1430</v>
      </c>
      <c r="J2461" s="172"/>
      <c r="K2461" s="139"/>
    </row>
    <row r="2462" spans="6:11" ht="24" customHeight="1">
      <c r="F2462" s="139"/>
      <c r="G2462" s="171"/>
      <c r="H2462" s="139"/>
      <c r="I2462" s="139">
        <f>SUM(I2456:I2460)</f>
        <v>43.22</v>
      </c>
      <c r="J2462" s="172"/>
      <c r="K2462" s="139"/>
    </row>
    <row r="2463" spans="6:11" ht="24" customHeight="1">
      <c r="F2463" s="139"/>
      <c r="G2463" s="171"/>
      <c r="H2463" s="139"/>
      <c r="I2463" s="139" t="s">
        <v>2222</v>
      </c>
      <c r="J2463" s="172"/>
      <c r="K2463" s="139"/>
    </row>
    <row r="2464" spans="6:11" ht="24" customHeight="1">
      <c r="F2464" s="139"/>
      <c r="G2464" s="171"/>
      <c r="H2464" s="139"/>
      <c r="I2464" s="139"/>
      <c r="J2464" s="172"/>
      <c r="K2464" s="139"/>
    </row>
    <row r="2465" spans="6:11" ht="24" customHeight="1">
      <c r="F2465" s="139"/>
      <c r="G2465" s="171"/>
      <c r="H2465" s="139"/>
      <c r="I2465" s="139"/>
      <c r="J2465" s="172"/>
      <c r="K2465" s="139"/>
    </row>
    <row r="2466" spans="6:11" ht="24" customHeight="1">
      <c r="F2466" s="139">
        <v>43.22</v>
      </c>
      <c r="G2466" s="171" t="s">
        <v>392</v>
      </c>
      <c r="H2466" s="304" t="s">
        <v>28</v>
      </c>
      <c r="I2466" s="139">
        <f>C660</f>
        <v>54.5</v>
      </c>
      <c r="J2466" s="172" t="s">
        <v>392</v>
      </c>
      <c r="K2466" s="139">
        <f>I2466*F2466</f>
        <v>2355.4899999999998</v>
      </c>
    </row>
    <row r="2467" spans="6:11" ht="24" customHeight="1">
      <c r="F2467" s="139">
        <v>0.81</v>
      </c>
      <c r="G2467" s="171" t="s">
        <v>788</v>
      </c>
      <c r="H2467" s="139" t="s">
        <v>2223</v>
      </c>
      <c r="I2467" s="139">
        <f>C199</f>
        <v>295</v>
      </c>
      <c r="J2467" s="172" t="s">
        <v>788</v>
      </c>
      <c r="K2467" s="139">
        <f>I2467*F2467</f>
        <v>238.95000000000002</v>
      </c>
    </row>
    <row r="2468" spans="6:11" ht="24" customHeight="1">
      <c r="F2468" s="139">
        <v>0.81</v>
      </c>
      <c r="G2468" s="171" t="s">
        <v>788</v>
      </c>
      <c r="H2468" s="139" t="s">
        <v>2224</v>
      </c>
      <c r="I2468" s="139">
        <f>D199</f>
        <v>91</v>
      </c>
      <c r="J2468" s="172" t="s">
        <v>788</v>
      </c>
      <c r="K2468" s="139">
        <f>I2468*F2468</f>
        <v>73.710000000000008</v>
      </c>
    </row>
    <row r="2469" spans="6:11" ht="24" customHeight="1">
      <c r="F2469" s="139"/>
      <c r="G2469" s="171"/>
      <c r="H2469" s="139" t="s">
        <v>2225</v>
      </c>
      <c r="I2469" s="324">
        <f>46.61</f>
        <v>46.61</v>
      </c>
      <c r="J2469" s="172" t="s">
        <v>106</v>
      </c>
      <c r="K2469" s="139">
        <f>I2469</f>
        <v>46.61</v>
      </c>
    </row>
    <row r="2470" spans="6:11" ht="24" customHeight="1">
      <c r="F2470" s="139"/>
      <c r="G2470" s="171"/>
      <c r="H2470" s="139"/>
      <c r="I2470" s="139"/>
      <c r="J2470" s="172"/>
      <c r="K2470" s="175" t="s">
        <v>1430</v>
      </c>
    </row>
    <row r="2471" spans="6:11" ht="24" customHeight="1">
      <c r="F2471" s="139"/>
      <c r="G2471" s="171"/>
      <c r="H2471" s="41" t="s">
        <v>2226</v>
      </c>
      <c r="I2471" s="139"/>
      <c r="J2471" s="172"/>
      <c r="K2471" s="41">
        <f>SUM(K2466:K2469)</f>
        <v>2714.7599999999998</v>
      </c>
    </row>
    <row r="2472" spans="6:11" ht="24" customHeight="1">
      <c r="F2472" s="139"/>
      <c r="G2472" s="171"/>
      <c r="H2472" s="139">
        <f>0.6*1.35</f>
        <v>0.81</v>
      </c>
      <c r="I2472" s="139"/>
      <c r="J2472" s="172"/>
      <c r="K2472" s="175" t="s">
        <v>1430</v>
      </c>
    </row>
    <row r="2473" spans="6:11" ht="24" customHeight="1">
      <c r="F2473" s="139"/>
      <c r="G2473" s="171"/>
      <c r="H2473" s="41" t="s">
        <v>2227</v>
      </c>
      <c r="I2473" s="139"/>
      <c r="J2473" s="172"/>
      <c r="K2473" s="41">
        <f>K2471/H2472</f>
        <v>3351.5555555555552</v>
      </c>
    </row>
    <row r="2474" spans="6:11" ht="24" customHeight="1">
      <c r="F2474" s="139"/>
      <c r="G2474" s="171"/>
      <c r="H2474" s="139"/>
      <c r="I2474" s="139"/>
      <c r="J2474" s="172"/>
      <c r="K2474" s="139"/>
    </row>
    <row r="2475" spans="6:11" ht="24" customHeight="1">
      <c r="F2475" s="172" t="s">
        <v>2228</v>
      </c>
      <c r="G2475" s="172"/>
      <c r="H2475" s="172"/>
      <c r="I2475" s="139">
        <v>11.78</v>
      </c>
      <c r="J2475" s="172" t="s">
        <v>1840</v>
      </c>
      <c r="K2475" s="139"/>
    </row>
    <row r="2476" spans="6:11" ht="24" customHeight="1">
      <c r="F2476" s="139" t="s">
        <v>2229</v>
      </c>
      <c r="G2476" s="171"/>
      <c r="H2476" s="139"/>
      <c r="I2476" s="139">
        <v>15.07</v>
      </c>
      <c r="J2476" s="172" t="s">
        <v>1840</v>
      </c>
      <c r="K2476" s="139"/>
    </row>
    <row r="2477" spans="6:11" ht="24" customHeight="1">
      <c r="F2477" s="139" t="s">
        <v>2230</v>
      </c>
      <c r="G2477" s="171"/>
      <c r="H2477" s="139"/>
      <c r="I2477" s="139">
        <v>2.16</v>
      </c>
      <c r="J2477" s="172" t="s">
        <v>1840</v>
      </c>
      <c r="K2477" s="139"/>
    </row>
    <row r="2478" spans="6:11" ht="24" customHeight="1">
      <c r="F2478" s="139" t="s">
        <v>2221</v>
      </c>
      <c r="G2478" s="171"/>
      <c r="H2478" s="139"/>
      <c r="I2478" s="139">
        <v>2.16</v>
      </c>
      <c r="J2478" s="172" t="s">
        <v>1840</v>
      </c>
      <c r="K2478" s="139"/>
    </row>
    <row r="2479" spans="6:11" ht="24" customHeight="1">
      <c r="F2479" s="139" t="s">
        <v>2231</v>
      </c>
      <c r="G2479" s="171"/>
      <c r="H2479" s="139"/>
      <c r="I2479" s="139">
        <f>1.91-0.08</f>
        <v>1.8299999999999998</v>
      </c>
      <c r="J2479" s="172"/>
      <c r="K2479" s="139"/>
    </row>
    <row r="2480" spans="6:11" ht="24" customHeight="1">
      <c r="F2480" s="139"/>
      <c r="G2480" s="171"/>
      <c r="H2480" s="139"/>
      <c r="I2480" s="175" t="s">
        <v>2232</v>
      </c>
      <c r="J2480" s="172"/>
      <c r="K2480" s="139"/>
    </row>
    <row r="2481" spans="6:11" ht="24" customHeight="1">
      <c r="F2481" s="139"/>
      <c r="G2481" s="171"/>
      <c r="H2481" s="139"/>
      <c r="I2481" s="41">
        <f>SUM(I2475:I2479)</f>
        <v>33</v>
      </c>
      <c r="J2481" s="172" t="s">
        <v>1840</v>
      </c>
      <c r="K2481" s="139"/>
    </row>
    <row r="2482" spans="6:11" ht="24" customHeight="1">
      <c r="F2482" s="139"/>
      <c r="G2482" s="171"/>
      <c r="H2482" s="139"/>
      <c r="I2482" s="175" t="s">
        <v>2232</v>
      </c>
      <c r="J2482" s="172"/>
      <c r="K2482" s="139"/>
    </row>
    <row r="2483" spans="6:11" ht="24" customHeight="1">
      <c r="F2483" s="139"/>
      <c r="G2483" s="171"/>
      <c r="H2483" s="139"/>
      <c r="I2483" s="139"/>
      <c r="J2483" s="172"/>
      <c r="K2483" s="139"/>
    </row>
    <row r="2484" spans="6:11" ht="24" customHeight="1">
      <c r="F2484" s="139"/>
      <c r="G2484" s="171"/>
      <c r="H2484" s="139"/>
      <c r="I2484" s="139"/>
      <c r="J2484" s="172"/>
      <c r="K2484" s="139"/>
    </row>
    <row r="2485" spans="6:11" ht="24" customHeight="1">
      <c r="F2485" s="139">
        <f>I2481</f>
        <v>33</v>
      </c>
      <c r="G2485" s="171" t="s">
        <v>392</v>
      </c>
      <c r="H2485" s="139" t="s">
        <v>28</v>
      </c>
      <c r="I2485" s="139">
        <f>I2466</f>
        <v>54.5</v>
      </c>
      <c r="J2485" s="172" t="s">
        <v>392</v>
      </c>
      <c r="K2485" s="139">
        <f>I2485*F2485</f>
        <v>1798.5</v>
      </c>
    </row>
    <row r="2486" spans="6:11" ht="24" customHeight="1">
      <c r="F2486" s="139">
        <v>0.54</v>
      </c>
      <c r="G2486" s="171" t="s">
        <v>788</v>
      </c>
      <c r="H2486" s="139" t="s">
        <v>2223</v>
      </c>
      <c r="I2486" s="139">
        <f>I2467</f>
        <v>295</v>
      </c>
      <c r="J2486" s="172" t="s">
        <v>788</v>
      </c>
      <c r="K2486" s="139">
        <f>I2486*F2486</f>
        <v>159.30000000000001</v>
      </c>
    </row>
    <row r="2487" spans="6:11" ht="24" customHeight="1">
      <c r="F2487" s="139">
        <v>0.54</v>
      </c>
      <c r="G2487" s="171" t="s">
        <v>788</v>
      </c>
      <c r="H2487" s="139" t="str">
        <f>H2468</f>
        <v>Fly proof  Mesh</v>
      </c>
      <c r="I2487" s="139">
        <f>I2468</f>
        <v>91</v>
      </c>
      <c r="J2487" s="172" t="s">
        <v>788</v>
      </c>
      <c r="K2487" s="139">
        <f>I2487*F2487</f>
        <v>49.14</v>
      </c>
    </row>
    <row r="2488" spans="6:11" ht="24" customHeight="1">
      <c r="F2488" s="139"/>
      <c r="G2488" s="171"/>
      <c r="H2488" s="139" t="s">
        <v>2225</v>
      </c>
      <c r="I2488" s="324">
        <v>53.5</v>
      </c>
      <c r="J2488" s="172" t="s">
        <v>106</v>
      </c>
      <c r="K2488" s="139">
        <v>52.8</v>
      </c>
    </row>
    <row r="2489" spans="6:11" ht="24" customHeight="1">
      <c r="F2489" s="139"/>
      <c r="G2489" s="171"/>
      <c r="H2489" s="139"/>
      <c r="I2489" s="139"/>
      <c r="J2489" s="172"/>
      <c r="K2489" s="175" t="s">
        <v>1430</v>
      </c>
    </row>
    <row r="2490" spans="6:11" ht="24" customHeight="1">
      <c r="F2490" s="139"/>
      <c r="G2490" s="171"/>
      <c r="H2490" s="41" t="s">
        <v>2226</v>
      </c>
      <c r="I2490" s="139"/>
      <c r="J2490" s="172"/>
      <c r="K2490" s="41">
        <f>SUM(K2485:K2488)</f>
        <v>2059.7400000000002</v>
      </c>
    </row>
    <row r="2491" spans="6:11" ht="24" customHeight="1">
      <c r="F2491" s="139"/>
      <c r="G2491" s="171"/>
      <c r="H2491" s="139"/>
      <c r="I2491" s="139"/>
      <c r="J2491" s="172"/>
      <c r="K2491" s="175" t="s">
        <v>1430</v>
      </c>
    </row>
    <row r="2492" spans="6:11" ht="24" customHeight="1">
      <c r="F2492" s="139"/>
      <c r="G2492" s="171"/>
      <c r="H2492" s="139"/>
      <c r="I2492" s="41" t="s">
        <v>2233</v>
      </c>
      <c r="J2492" s="172"/>
      <c r="K2492" s="41">
        <f>K2490/0.54</f>
        <v>3814.3333333333335</v>
      </c>
    </row>
    <row r="2493" spans="6:11" ht="24" customHeight="1">
      <c r="F2493" s="139"/>
      <c r="G2493" s="171"/>
      <c r="H2493" s="139"/>
      <c r="I2493" s="139"/>
      <c r="J2493" s="172"/>
      <c r="K2493" s="139"/>
    </row>
    <row r="2494" spans="6:11" ht="24" customHeight="1">
      <c r="F2494" s="139"/>
      <c r="G2494" s="171"/>
      <c r="H2494" s="139"/>
      <c r="I2494" s="139"/>
      <c r="J2494" s="172"/>
      <c r="K2494" s="139"/>
    </row>
    <row r="2495" spans="6:11" ht="24" customHeight="1">
      <c r="F2495" s="139"/>
      <c r="G2495" s="171"/>
      <c r="H2495" s="41" t="s">
        <v>2234</v>
      </c>
      <c r="I2495" s="139"/>
      <c r="J2495" s="172"/>
      <c r="K2495" s="139"/>
    </row>
    <row r="2496" spans="6:11" ht="24" customHeight="1">
      <c r="F2496" s="139"/>
      <c r="G2496" s="171"/>
      <c r="H2496" s="139"/>
      <c r="I2496" s="139"/>
      <c r="J2496" s="172"/>
      <c r="K2496" s="139"/>
    </row>
    <row r="2497" spans="6:18" ht="24" customHeight="1">
      <c r="F2497" s="172" t="s">
        <v>2235</v>
      </c>
      <c r="G2497" s="172"/>
      <c r="H2497" s="172"/>
      <c r="I2497" s="139">
        <v>9.42</v>
      </c>
      <c r="J2497" s="172" t="s">
        <v>1840</v>
      </c>
      <c r="K2497" s="172"/>
    </row>
    <row r="2498" spans="6:18" ht="24" customHeight="1">
      <c r="F2498" s="139" t="s">
        <v>2236</v>
      </c>
      <c r="G2498" s="171"/>
      <c r="H2498" s="139"/>
      <c r="I2498" s="139">
        <v>9.42</v>
      </c>
      <c r="J2498" s="172" t="s">
        <v>1840</v>
      </c>
      <c r="K2498" s="172"/>
    </row>
    <row r="2499" spans="6:18" ht="24" customHeight="1">
      <c r="F2499" s="139" t="s">
        <v>2237</v>
      </c>
      <c r="G2499" s="171"/>
      <c r="H2499" s="139"/>
      <c r="I2499" s="139">
        <v>1.44</v>
      </c>
      <c r="J2499" s="172" t="s">
        <v>1840</v>
      </c>
      <c r="K2499" s="172"/>
    </row>
    <row r="2500" spans="6:18" ht="24" customHeight="1">
      <c r="F2500" s="139" t="s">
        <v>2221</v>
      </c>
      <c r="G2500" s="171"/>
      <c r="H2500" s="139"/>
      <c r="I2500" s="139">
        <v>2.16</v>
      </c>
      <c r="J2500" s="172" t="s">
        <v>1840</v>
      </c>
      <c r="K2500" s="172"/>
    </row>
    <row r="2501" spans="6:18" ht="24" customHeight="1">
      <c r="F2501" s="139" t="s">
        <v>2231</v>
      </c>
      <c r="G2501" s="171"/>
      <c r="H2501" s="139"/>
      <c r="I2501" s="139">
        <v>1.56</v>
      </c>
      <c r="J2501" s="172"/>
      <c r="K2501" s="172"/>
    </row>
    <row r="2502" spans="6:18" ht="24" customHeight="1">
      <c r="F2502" s="139"/>
      <c r="G2502" s="171"/>
      <c r="H2502" s="139"/>
      <c r="I2502" s="175" t="s">
        <v>2232</v>
      </c>
      <c r="J2502" s="172"/>
      <c r="K2502" s="172"/>
      <c r="M2502" s="139"/>
      <c r="N2502" s="171"/>
      <c r="O2502" s="41" t="s">
        <v>2238</v>
      </c>
      <c r="P2502" s="139"/>
      <c r="Q2502" s="172"/>
      <c r="R2502" s="139"/>
    </row>
    <row r="2503" spans="6:18" ht="24" customHeight="1">
      <c r="F2503" s="139"/>
      <c r="G2503" s="171"/>
      <c r="H2503" s="139"/>
      <c r="I2503" s="139">
        <f>SUM(I2497:I2501)</f>
        <v>24</v>
      </c>
      <c r="J2503" s="172" t="s">
        <v>1840</v>
      </c>
      <c r="K2503" s="172"/>
      <c r="M2503" s="139"/>
      <c r="N2503" s="171"/>
      <c r="O2503" s="139"/>
      <c r="P2503" s="139"/>
      <c r="Q2503" s="172"/>
      <c r="R2503" s="139"/>
    </row>
    <row r="2504" spans="6:18" ht="24" customHeight="1">
      <c r="F2504" s="139"/>
      <c r="G2504" s="171"/>
      <c r="H2504" s="139"/>
      <c r="I2504" s="175" t="s">
        <v>2232</v>
      </c>
      <c r="J2504" s="172"/>
      <c r="K2504" s="139"/>
      <c r="M2504" s="172" t="s">
        <v>2239</v>
      </c>
      <c r="N2504" s="172"/>
      <c r="O2504" s="172"/>
      <c r="P2504" s="174">
        <f>3.77*3.9</f>
        <v>14.702999999999999</v>
      </c>
      <c r="Q2504" s="172" t="s">
        <v>1840</v>
      </c>
      <c r="R2504" s="172"/>
    </row>
    <row r="2505" spans="6:18" ht="24" customHeight="1">
      <c r="F2505" s="139"/>
      <c r="G2505" s="171"/>
      <c r="H2505" s="139"/>
      <c r="I2505" s="139"/>
      <c r="J2505" s="172"/>
      <c r="K2505" s="139"/>
      <c r="M2505" s="139" t="s">
        <v>2240</v>
      </c>
      <c r="N2505" s="171"/>
      <c r="O2505" s="139"/>
      <c r="P2505" s="139">
        <f>12*0.6*3.14</f>
        <v>22.607999999999997</v>
      </c>
      <c r="Q2505" s="172" t="s">
        <v>1840</v>
      </c>
      <c r="R2505" s="172"/>
    </row>
    <row r="2506" spans="6:18" ht="24" customHeight="1">
      <c r="F2506" s="139"/>
      <c r="G2506" s="171"/>
      <c r="H2506" s="139"/>
      <c r="I2506" s="139"/>
      <c r="J2506" s="172"/>
      <c r="K2506" s="139"/>
      <c r="M2506" s="139" t="s">
        <v>2241</v>
      </c>
      <c r="N2506" s="171"/>
      <c r="O2506" s="139"/>
      <c r="P2506" s="139">
        <f>2*1.285*1.2</f>
        <v>3.0839999999999996</v>
      </c>
      <c r="Q2506" s="172" t="s">
        <v>1840</v>
      </c>
      <c r="R2506" s="172"/>
    </row>
    <row r="2507" spans="6:18" ht="24" customHeight="1">
      <c r="F2507" s="139">
        <v>24</v>
      </c>
      <c r="G2507" s="171" t="s">
        <v>392</v>
      </c>
      <c r="H2507" s="139" t="s">
        <v>28</v>
      </c>
      <c r="I2507" s="139">
        <f>I2485</f>
        <v>54.5</v>
      </c>
      <c r="J2507" s="172" t="s">
        <v>392</v>
      </c>
      <c r="K2507" s="139">
        <f>I2507*F2507</f>
        <v>1308</v>
      </c>
      <c r="M2507" s="139" t="s">
        <v>2221</v>
      </c>
      <c r="N2507" s="171"/>
      <c r="O2507" s="139"/>
      <c r="P2507" s="139">
        <f>3*0.6*1.2</f>
        <v>2.1599999999999997</v>
      </c>
      <c r="Q2507" s="172" t="s">
        <v>1840</v>
      </c>
      <c r="R2507" s="172"/>
    </row>
    <row r="2508" spans="6:18" ht="24" customHeight="1">
      <c r="F2508" s="139">
        <v>0.36</v>
      </c>
      <c r="G2508" s="171" t="s">
        <v>788</v>
      </c>
      <c r="H2508" s="139" t="s">
        <v>2223</v>
      </c>
      <c r="I2508" s="139">
        <f>I2486</f>
        <v>295</v>
      </c>
      <c r="J2508" s="172" t="s">
        <v>788</v>
      </c>
      <c r="K2508" s="139">
        <f>I2508*F2508</f>
        <v>106.2</v>
      </c>
      <c r="M2508" s="139" t="s">
        <v>2231</v>
      </c>
      <c r="N2508" s="171"/>
      <c r="O2508" s="139"/>
      <c r="P2508" s="139">
        <v>0.16</v>
      </c>
      <c r="Q2508" s="172"/>
      <c r="R2508" s="172"/>
    </row>
    <row r="2509" spans="6:18" ht="24" customHeight="1">
      <c r="F2509" s="139">
        <v>0.36</v>
      </c>
      <c r="G2509" s="171" t="s">
        <v>788</v>
      </c>
      <c r="H2509" s="139" t="s">
        <v>2242</v>
      </c>
      <c r="I2509" s="139">
        <f>C198</f>
        <v>31.65</v>
      </c>
      <c r="J2509" s="172" t="s">
        <v>788</v>
      </c>
      <c r="K2509" s="139">
        <f>I2509*F2509</f>
        <v>11.393999999999998</v>
      </c>
      <c r="M2509" s="139"/>
      <c r="N2509" s="171"/>
      <c r="O2509" s="139"/>
      <c r="P2509" s="175" t="s">
        <v>2232</v>
      </c>
      <c r="Q2509" s="172"/>
      <c r="R2509" s="172"/>
    </row>
    <row r="2510" spans="6:18" ht="24" customHeight="1">
      <c r="F2510" s="139"/>
      <c r="G2510" s="171"/>
      <c r="H2510" s="139" t="s">
        <v>2243</v>
      </c>
      <c r="I2510" s="324">
        <v>28.34</v>
      </c>
      <c r="J2510" s="172" t="s">
        <v>106</v>
      </c>
      <c r="K2510" s="139">
        <f>28.14</f>
        <v>28.14</v>
      </c>
      <c r="M2510" s="139"/>
      <c r="N2510" s="171"/>
      <c r="O2510" s="139"/>
      <c r="P2510" s="170">
        <f>SUM(P2504:P2508)</f>
        <v>42.714999999999989</v>
      </c>
      <c r="Q2510" s="172" t="s">
        <v>1840</v>
      </c>
      <c r="R2510" s="172">
        <f>42.55-42.713</f>
        <v>-0.16300000000000381</v>
      </c>
    </row>
    <row r="2511" spans="6:18" ht="24" customHeight="1">
      <c r="F2511" s="139"/>
      <c r="G2511" s="171"/>
      <c r="H2511" s="139"/>
      <c r="I2511" s="139"/>
      <c r="J2511" s="172"/>
      <c r="K2511" s="175" t="s">
        <v>1430</v>
      </c>
      <c r="M2511" s="139"/>
      <c r="N2511" s="171"/>
      <c r="O2511" s="139"/>
      <c r="P2511" s="175" t="s">
        <v>2232</v>
      </c>
      <c r="Q2511" s="172"/>
      <c r="R2511" s="139"/>
    </row>
    <row r="2512" spans="6:18" ht="24" customHeight="1">
      <c r="F2512" s="139"/>
      <c r="G2512" s="171"/>
      <c r="H2512" s="41" t="s">
        <v>2226</v>
      </c>
      <c r="I2512" s="139"/>
      <c r="J2512" s="172"/>
      <c r="K2512" s="41">
        <f>SUM(K2507:K2510)</f>
        <v>1453.7340000000002</v>
      </c>
      <c r="M2512" s="139"/>
      <c r="N2512" s="171"/>
      <c r="O2512" s="139"/>
      <c r="P2512" s="139"/>
      <c r="Q2512" s="172"/>
      <c r="R2512" s="139"/>
    </row>
    <row r="2513" spans="6:18" ht="24" customHeight="1">
      <c r="F2513" s="139"/>
      <c r="G2513" s="171"/>
      <c r="H2513" s="139"/>
      <c r="I2513" s="139"/>
      <c r="J2513" s="172"/>
      <c r="K2513" s="175" t="s">
        <v>1430</v>
      </c>
      <c r="M2513" s="139"/>
      <c r="N2513" s="171"/>
      <c r="O2513" s="139"/>
      <c r="P2513" s="139"/>
      <c r="Q2513" s="172"/>
      <c r="R2513" s="139"/>
    </row>
    <row r="2514" spans="6:18" ht="24" customHeight="1">
      <c r="F2514" s="139"/>
      <c r="G2514" s="171"/>
      <c r="H2514" s="139"/>
      <c r="I2514" s="139"/>
      <c r="J2514" s="172"/>
      <c r="K2514" s="139">
        <f>0.6*0.6</f>
        <v>0.36</v>
      </c>
      <c r="M2514" s="174">
        <f>P2510</f>
        <v>42.714999999999989</v>
      </c>
      <c r="N2514" s="171" t="s">
        <v>392</v>
      </c>
      <c r="O2514" s="139" t="s">
        <v>28</v>
      </c>
      <c r="P2514" s="139">
        <f>I2507</f>
        <v>54.5</v>
      </c>
      <c r="Q2514" s="172" t="s">
        <v>392</v>
      </c>
      <c r="R2514" s="139">
        <f>P2514*M2514</f>
        <v>2327.9674999999993</v>
      </c>
    </row>
    <row r="2515" spans="6:18" ht="24" customHeight="1">
      <c r="F2515" s="139"/>
      <c r="G2515" s="171"/>
      <c r="H2515" s="41" t="s">
        <v>2244</v>
      </c>
      <c r="I2515" s="139"/>
      <c r="J2515" s="172"/>
      <c r="K2515" s="139">
        <f>K2512/K2514</f>
        <v>4038.1500000000005</v>
      </c>
      <c r="M2515" s="139">
        <v>0.77</v>
      </c>
      <c r="N2515" s="171" t="s">
        <v>788</v>
      </c>
      <c r="O2515" s="139" t="s">
        <v>2223</v>
      </c>
      <c r="P2515" s="139">
        <f>I2508</f>
        <v>295</v>
      </c>
      <c r="Q2515" s="172" t="s">
        <v>788</v>
      </c>
      <c r="R2515" s="139">
        <f>P2515*M2515</f>
        <v>227.15</v>
      </c>
    </row>
    <row r="2516" spans="6:18" ht="24" customHeight="1">
      <c r="F2516" s="139"/>
      <c r="G2516" s="171"/>
      <c r="H2516" s="139"/>
      <c r="I2516" s="139"/>
      <c r="J2516" s="172"/>
      <c r="K2516" s="139"/>
      <c r="M2516" s="139">
        <v>0.77</v>
      </c>
      <c r="N2516" s="171" t="s">
        <v>788</v>
      </c>
      <c r="O2516" s="139" t="s">
        <v>2242</v>
      </c>
      <c r="P2516" s="139">
        <f>I2509</f>
        <v>31.65</v>
      </c>
      <c r="Q2516" s="172" t="s">
        <v>788</v>
      </c>
      <c r="R2516" s="139">
        <f>P2516*M2516</f>
        <v>24.3705</v>
      </c>
    </row>
    <row r="2517" spans="6:18" ht="24" customHeight="1">
      <c r="F2517" s="41" t="s">
        <v>2245</v>
      </c>
      <c r="G2517" s="101"/>
      <c r="H2517" s="139"/>
      <c r="I2517" s="139"/>
      <c r="J2517" s="172"/>
      <c r="K2517" s="139"/>
      <c r="M2517" s="139"/>
      <c r="N2517" s="171"/>
      <c r="O2517" s="139" t="s">
        <v>2243</v>
      </c>
      <c r="P2517" s="139">
        <f>I2510</f>
        <v>28.34</v>
      </c>
      <c r="Q2517" s="172" t="s">
        <v>106</v>
      </c>
      <c r="R2517" s="139">
        <f>28.34+0.11</f>
        <v>28.45</v>
      </c>
    </row>
    <row r="2518" spans="6:18" ht="24" customHeight="1">
      <c r="F2518" s="139"/>
      <c r="G2518" s="171"/>
      <c r="H2518" s="139"/>
      <c r="I2518" s="139"/>
      <c r="J2518" s="172"/>
      <c r="K2518" s="139"/>
      <c r="M2518" s="139"/>
      <c r="N2518" s="171"/>
      <c r="O2518" s="139"/>
      <c r="P2518" s="139"/>
      <c r="Q2518" s="172"/>
      <c r="R2518" s="175" t="s">
        <v>1430</v>
      </c>
    </row>
    <row r="2519" spans="6:18" ht="24" customHeight="1">
      <c r="F2519" s="139" t="s">
        <v>2246</v>
      </c>
      <c r="G2519" s="171"/>
      <c r="H2519" s="139"/>
      <c r="I2519" s="139">
        <v>3.93</v>
      </c>
      <c r="J2519" s="172" t="s">
        <v>392</v>
      </c>
      <c r="K2519" s="139"/>
      <c r="M2519" s="139"/>
      <c r="N2519" s="171"/>
      <c r="O2519" s="41" t="s">
        <v>2226</v>
      </c>
      <c r="P2519" s="139"/>
      <c r="Q2519" s="172"/>
      <c r="R2519" s="41">
        <f>SUM(R2514:R2517)</f>
        <v>2607.9379999999992</v>
      </c>
    </row>
    <row r="2520" spans="6:18" ht="24" customHeight="1">
      <c r="F2520" s="139" t="s">
        <v>2247</v>
      </c>
      <c r="G2520" s="171"/>
      <c r="H2520" s="139"/>
      <c r="I2520" s="139">
        <v>3.14</v>
      </c>
      <c r="J2520" s="172" t="s">
        <v>392</v>
      </c>
      <c r="K2520" s="139"/>
      <c r="M2520" s="139"/>
      <c r="N2520" s="171"/>
      <c r="O2520" s="139"/>
      <c r="P2520" s="139"/>
      <c r="Q2520" s="172"/>
      <c r="R2520" s="175" t="s">
        <v>1430</v>
      </c>
    </row>
    <row r="2521" spans="6:18" ht="24" customHeight="1">
      <c r="F2521" s="139" t="s">
        <v>2248</v>
      </c>
      <c r="G2521" s="171"/>
      <c r="H2521" s="139"/>
      <c r="I2521" s="139">
        <v>1.18</v>
      </c>
      <c r="J2521" s="172" t="s">
        <v>392</v>
      </c>
      <c r="K2521" s="139"/>
      <c r="M2521" s="139"/>
      <c r="N2521" s="171"/>
      <c r="O2521" s="218" t="s">
        <v>2233</v>
      </c>
      <c r="P2521" s="139"/>
      <c r="Q2521" s="172"/>
      <c r="R2521" s="41">
        <f>R2519/M2515</f>
        <v>3386.9324675324665</v>
      </c>
    </row>
    <row r="2522" spans="6:18" ht="24" customHeight="1">
      <c r="F2522" s="139"/>
      <c r="G2522" s="171"/>
      <c r="H2522" s="139"/>
      <c r="I2522" s="139"/>
      <c r="J2522" s="172"/>
      <c r="K2522" s="139"/>
      <c r="N2522" s="28">
        <f>1.285*0.6</f>
        <v>0.77099999999999991</v>
      </c>
    </row>
    <row r="2523" spans="6:18" ht="24" customHeight="1">
      <c r="F2523" s="139"/>
      <c r="G2523" s="171"/>
      <c r="H2523" s="139"/>
      <c r="I2523" s="139"/>
      <c r="J2523" s="172"/>
      <c r="K2523" s="139"/>
    </row>
    <row r="2524" spans="6:18" ht="24" customHeight="1">
      <c r="F2524" s="139"/>
      <c r="G2524" s="171"/>
      <c r="H2524" s="41" t="s">
        <v>2244</v>
      </c>
      <c r="I2524" s="139"/>
      <c r="J2524" s="172"/>
      <c r="K2524" s="139"/>
    </row>
    <row r="2525" spans="6:18" ht="24" customHeight="1">
      <c r="F2525" s="139"/>
      <c r="G2525" s="171"/>
      <c r="H2525" s="139"/>
      <c r="I2525" s="139"/>
      <c r="J2525" s="172"/>
      <c r="K2525" s="139"/>
    </row>
    <row r="2526" spans="6:18" ht="24" customHeight="1">
      <c r="F2526" s="139"/>
      <c r="G2526" s="171"/>
      <c r="H2526" s="139"/>
      <c r="I2526" s="139"/>
      <c r="J2526" s="172"/>
      <c r="K2526" s="139"/>
    </row>
    <row r="2527" spans="6:18" ht="24" customHeight="1">
      <c r="F2527" s="139" t="s">
        <v>2249</v>
      </c>
      <c r="G2527" s="171"/>
      <c r="H2527" s="139"/>
      <c r="I2527" s="139">
        <v>24.34</v>
      </c>
      <c r="J2527" s="172" t="s">
        <v>392</v>
      </c>
      <c r="K2527" s="139"/>
    </row>
    <row r="2528" spans="6:18" ht="24" customHeight="1">
      <c r="F2528" s="139" t="s">
        <v>2250</v>
      </c>
      <c r="G2528" s="171"/>
      <c r="H2528" s="139"/>
      <c r="I2528" s="139">
        <v>11.78</v>
      </c>
      <c r="J2528" s="172" t="s">
        <v>392</v>
      </c>
      <c r="K2528" s="139"/>
    </row>
    <row r="2529" spans="6:12" ht="24" customHeight="1">
      <c r="F2529" s="139" t="s">
        <v>2251</v>
      </c>
      <c r="G2529" s="171"/>
      <c r="H2529" s="139"/>
      <c r="I2529" s="139">
        <v>59.35</v>
      </c>
      <c r="J2529" s="172" t="s">
        <v>392</v>
      </c>
      <c r="K2529" s="139"/>
    </row>
    <row r="2530" spans="6:12" ht="24" customHeight="1">
      <c r="F2530" s="139" t="s">
        <v>2252</v>
      </c>
      <c r="G2530" s="171"/>
      <c r="H2530" s="139"/>
      <c r="I2530" s="139">
        <v>5.04</v>
      </c>
      <c r="J2530" s="172" t="s">
        <v>392</v>
      </c>
      <c r="K2530" s="139"/>
    </row>
    <row r="2531" spans="6:12" ht="24" customHeight="1">
      <c r="F2531" s="139" t="s">
        <v>2253</v>
      </c>
      <c r="G2531" s="171"/>
      <c r="H2531" s="139"/>
      <c r="I2531" s="139">
        <v>4.8</v>
      </c>
      <c r="J2531" s="172" t="s">
        <v>392</v>
      </c>
      <c r="K2531" s="139"/>
    </row>
    <row r="2532" spans="6:12" ht="24" customHeight="1">
      <c r="F2532" s="139" t="s">
        <v>2254</v>
      </c>
      <c r="G2532" s="171"/>
      <c r="H2532" s="139"/>
      <c r="I2532" s="139">
        <v>2.69</v>
      </c>
      <c r="J2532" s="172"/>
      <c r="K2532" s="139"/>
    </row>
    <row r="2533" spans="6:12" ht="24" customHeight="1">
      <c r="F2533" s="139"/>
      <c r="G2533" s="171"/>
      <c r="H2533" s="139"/>
      <c r="I2533" s="175" t="s">
        <v>2232</v>
      </c>
      <c r="J2533" s="172"/>
      <c r="K2533" s="139"/>
    </row>
    <row r="2534" spans="6:12" ht="24" customHeight="1">
      <c r="F2534" s="139"/>
      <c r="G2534" s="171"/>
      <c r="H2534" s="139"/>
      <c r="I2534" s="41">
        <f>SUM(I2527:I2532)</f>
        <v>108</v>
      </c>
      <c r="J2534" s="172" t="s">
        <v>392</v>
      </c>
      <c r="K2534" s="139"/>
    </row>
    <row r="2535" spans="6:12" ht="24" customHeight="1">
      <c r="F2535" s="139"/>
      <c r="G2535" s="171"/>
      <c r="H2535" s="139"/>
      <c r="I2535" s="175" t="s">
        <v>2232</v>
      </c>
      <c r="J2535" s="172"/>
      <c r="K2535" s="139"/>
    </row>
    <row r="2536" spans="6:12" ht="24" customHeight="1">
      <c r="F2536" s="139"/>
      <c r="G2536" s="171"/>
      <c r="H2536" s="139"/>
      <c r="I2536" s="139"/>
      <c r="J2536" s="172"/>
      <c r="K2536" s="139"/>
      <c r="L2536" s="28" t="s">
        <v>2255</v>
      </c>
    </row>
    <row r="2537" spans="6:12" ht="24" customHeight="1">
      <c r="F2537" s="139">
        <v>108</v>
      </c>
      <c r="G2537" s="171" t="s">
        <v>392</v>
      </c>
      <c r="H2537" s="139" t="s">
        <v>2256</v>
      </c>
      <c r="I2537" s="139">
        <f>I2466</f>
        <v>54.5</v>
      </c>
      <c r="J2537" s="172" t="s">
        <v>392</v>
      </c>
      <c r="K2537" s="139">
        <f>F2537*I2537</f>
        <v>5886</v>
      </c>
    </row>
    <row r="2538" spans="6:12" ht="24" customHeight="1">
      <c r="F2538" s="139">
        <v>2.1</v>
      </c>
      <c r="G2538" s="171" t="s">
        <v>788</v>
      </c>
      <c r="H2538" s="139" t="s">
        <v>2223</v>
      </c>
      <c r="I2538" s="139">
        <f>I2467</f>
        <v>295</v>
      </c>
      <c r="J2538" s="172" t="s">
        <v>788</v>
      </c>
      <c r="K2538" s="139">
        <f>F2538*I2538</f>
        <v>619.5</v>
      </c>
      <c r="L2538" s="32">
        <v>42.713000000000001</v>
      </c>
    </row>
    <row r="2539" spans="6:12" ht="24" customHeight="1">
      <c r="F2539" s="139">
        <v>2.1</v>
      </c>
      <c r="G2539" s="171" t="s">
        <v>788</v>
      </c>
      <c r="H2539" s="139" t="s">
        <v>2257</v>
      </c>
      <c r="I2539" s="139">
        <f>I2468</f>
        <v>91</v>
      </c>
      <c r="J2539" s="172" t="s">
        <v>788</v>
      </c>
      <c r="K2539" s="139">
        <f>F2539*I2539</f>
        <v>191.1</v>
      </c>
      <c r="L2539" s="28">
        <v>0.77</v>
      </c>
    </row>
    <row r="2540" spans="6:12" ht="24" customHeight="1">
      <c r="F2540" s="139"/>
      <c r="G2540" s="171"/>
      <c r="H2540" s="139" t="s">
        <v>2258</v>
      </c>
      <c r="I2540" s="139">
        <v>267.10000000000002</v>
      </c>
      <c r="J2540" s="172" t="s">
        <v>106</v>
      </c>
      <c r="K2540" s="139">
        <f>I2540</f>
        <v>267.10000000000002</v>
      </c>
      <c r="L2540" s="28">
        <v>0.77</v>
      </c>
    </row>
    <row r="2541" spans="6:12" ht="24" customHeight="1">
      <c r="F2541" s="139"/>
      <c r="G2541" s="171"/>
      <c r="H2541" s="139"/>
      <c r="I2541" s="139"/>
      <c r="J2541" s="172"/>
      <c r="K2541" s="175" t="s">
        <v>1430</v>
      </c>
    </row>
    <row r="2542" spans="6:12" ht="24" customHeight="1">
      <c r="F2542" s="139"/>
      <c r="G2542" s="171"/>
      <c r="H2542" s="139"/>
      <c r="I2542" s="139"/>
      <c r="J2542" s="172"/>
      <c r="K2542" s="139">
        <f>SUM(K2537:K2540)</f>
        <v>6963.7000000000007</v>
      </c>
    </row>
    <row r="2543" spans="6:12" ht="24" customHeight="1">
      <c r="F2543" s="139"/>
      <c r="G2543" s="171"/>
      <c r="H2543" s="139" t="s">
        <v>2259</v>
      </c>
      <c r="I2543" s="139">
        <v>500</v>
      </c>
      <c r="J2543" s="172" t="s">
        <v>106</v>
      </c>
      <c r="K2543" s="139">
        <f>I2543</f>
        <v>500</v>
      </c>
    </row>
    <row r="2544" spans="6:12" ht="24" customHeight="1">
      <c r="F2544" s="139"/>
      <c r="G2544" s="171"/>
      <c r="H2544" s="139"/>
      <c r="I2544" s="139"/>
      <c r="J2544" s="172"/>
      <c r="K2544" s="175" t="s">
        <v>1430</v>
      </c>
    </row>
    <row r="2545" spans="6:11" ht="24" customHeight="1">
      <c r="F2545" s="139"/>
      <c r="G2545" s="171"/>
      <c r="H2545" s="41" t="s">
        <v>2260</v>
      </c>
      <c r="I2545" s="139"/>
      <c r="J2545" s="172"/>
      <c r="K2545" s="41">
        <f>SUM(K2542:K2543)</f>
        <v>7463.7000000000007</v>
      </c>
    </row>
    <row r="2546" spans="6:11" ht="24" customHeight="1">
      <c r="F2546" s="139"/>
      <c r="G2546" s="171"/>
      <c r="H2546" s="139"/>
      <c r="I2546" s="139"/>
      <c r="J2546" s="172"/>
      <c r="K2546" s="175" t="s">
        <v>1430</v>
      </c>
    </row>
    <row r="2547" spans="6:11" ht="24" customHeight="1">
      <c r="F2547" s="139"/>
      <c r="G2547" s="171"/>
      <c r="H2547" s="139"/>
      <c r="I2547" s="139"/>
      <c r="J2547" s="172"/>
      <c r="K2547" s="139"/>
    </row>
    <row r="2548" spans="6:11" ht="24" customHeight="1">
      <c r="F2548" s="139"/>
      <c r="G2548" s="171"/>
      <c r="H2548" s="139"/>
      <c r="I2548" s="139"/>
      <c r="J2548" s="172"/>
      <c r="K2548" s="139">
        <f>8054-K2545</f>
        <v>590.29999999999927</v>
      </c>
    </row>
    <row r="2549" spans="6:11" ht="24" customHeight="1">
      <c r="F2549" s="139"/>
      <c r="G2549" s="171"/>
      <c r="H2549" s="139"/>
      <c r="I2549" s="139"/>
      <c r="J2549" s="172"/>
      <c r="K2549" s="139"/>
    </row>
    <row r="2550" spans="6:11" ht="24" customHeight="1">
      <c r="F2550" s="139"/>
      <c r="G2550" s="171"/>
      <c r="H2550" s="41" t="s">
        <v>2261</v>
      </c>
      <c r="I2550" s="139"/>
      <c r="J2550" s="172"/>
      <c r="K2550" s="139"/>
    </row>
    <row r="2551" spans="6:11" ht="24" customHeight="1">
      <c r="F2551" s="139"/>
      <c r="G2551" s="171"/>
      <c r="H2551" s="139"/>
      <c r="I2551" s="139"/>
      <c r="J2551" s="172"/>
      <c r="K2551" s="139"/>
    </row>
    <row r="2552" spans="6:11" ht="24" customHeight="1">
      <c r="F2552" s="41" t="s">
        <v>2245</v>
      </c>
      <c r="G2552" s="101"/>
      <c r="H2552" s="139"/>
      <c r="I2552" s="139"/>
      <c r="J2552" s="172"/>
      <c r="K2552" s="139"/>
    </row>
    <row r="2553" spans="6:11" ht="24" customHeight="1">
      <c r="F2553" s="139"/>
      <c r="G2553" s="171"/>
      <c r="H2553" s="139"/>
      <c r="I2553" s="139"/>
      <c r="J2553" s="172"/>
      <c r="K2553" s="139"/>
    </row>
    <row r="2554" spans="6:11" ht="24" customHeight="1">
      <c r="F2554" s="139" t="s">
        <v>2262</v>
      </c>
      <c r="G2554" s="171"/>
      <c r="H2554" s="139"/>
      <c r="I2554" s="174">
        <v>2.944</v>
      </c>
      <c r="J2554" s="172" t="s">
        <v>392</v>
      </c>
      <c r="K2554" s="139"/>
    </row>
    <row r="2555" spans="6:11" ht="24" customHeight="1">
      <c r="F2555" s="139" t="s">
        <v>2263</v>
      </c>
      <c r="G2555" s="171"/>
      <c r="H2555" s="139"/>
      <c r="I2555" s="174">
        <v>2.355</v>
      </c>
      <c r="J2555" s="172" t="s">
        <v>392</v>
      </c>
      <c r="K2555" s="139"/>
    </row>
    <row r="2556" spans="6:11" ht="24" customHeight="1">
      <c r="F2556" s="139" t="s">
        <v>2264</v>
      </c>
      <c r="G2556" s="171"/>
      <c r="H2556" s="139"/>
      <c r="I2556" s="174">
        <v>0.88300000000000001</v>
      </c>
      <c r="J2556" s="172" t="s">
        <v>392</v>
      </c>
      <c r="K2556" s="139"/>
    </row>
    <row r="2557" spans="6:11" ht="24" customHeight="1">
      <c r="F2557" s="139"/>
      <c r="G2557" s="171"/>
      <c r="H2557" s="139"/>
      <c r="I2557" s="139"/>
      <c r="J2557" s="172"/>
      <c r="K2557" s="139"/>
    </row>
    <row r="2558" spans="6:11" ht="24" customHeight="1">
      <c r="F2558" s="139"/>
      <c r="G2558" s="171"/>
      <c r="H2558" s="139"/>
      <c r="I2558" s="139"/>
      <c r="J2558" s="172"/>
      <c r="K2558" s="139"/>
    </row>
    <row r="2559" spans="6:11" ht="24" customHeight="1">
      <c r="F2559" s="139"/>
      <c r="G2559" s="171"/>
      <c r="H2559" s="41" t="s">
        <v>2261</v>
      </c>
      <c r="I2559" s="139"/>
      <c r="J2559" s="172"/>
      <c r="K2559" s="139"/>
    </row>
    <row r="2560" spans="6:11" ht="24" customHeight="1">
      <c r="F2560" s="139"/>
      <c r="G2560" s="171"/>
      <c r="H2560" s="139"/>
      <c r="I2560" s="139"/>
      <c r="J2560" s="172"/>
      <c r="K2560" s="139"/>
    </row>
    <row r="2561" spans="6:18" ht="24" customHeight="1">
      <c r="F2561" s="139"/>
      <c r="G2561" s="171"/>
      <c r="H2561" s="139"/>
      <c r="I2561" s="139"/>
      <c r="J2561" s="172"/>
      <c r="K2561" s="139"/>
      <c r="M2561" s="139"/>
      <c r="N2561" s="325">
        <v>24.1</v>
      </c>
      <c r="O2561" s="41" t="s">
        <v>2238</v>
      </c>
      <c r="P2561" s="139"/>
      <c r="Q2561" s="172"/>
      <c r="R2561" s="139"/>
    </row>
    <row r="2562" spans="6:18" ht="24" customHeight="1">
      <c r="F2562" s="139" t="s">
        <v>2265</v>
      </c>
      <c r="G2562" s="171"/>
      <c r="H2562" s="139"/>
      <c r="I2562" s="139">
        <v>16.38</v>
      </c>
      <c r="J2562" s="172" t="s">
        <v>392</v>
      </c>
      <c r="K2562" s="139"/>
      <c r="M2562" s="139"/>
      <c r="N2562" s="326" t="s">
        <v>41</v>
      </c>
      <c r="O2562" s="327"/>
      <c r="P2562" s="139"/>
      <c r="Q2562" s="172"/>
      <c r="R2562" s="139"/>
    </row>
    <row r="2563" spans="6:18" ht="24" customHeight="1">
      <c r="F2563" s="139" t="s">
        <v>2266</v>
      </c>
      <c r="G2563" s="171"/>
      <c r="H2563" s="139"/>
      <c r="I2563" s="139">
        <v>8.7799999999999994</v>
      </c>
      <c r="J2563" s="172" t="s">
        <v>392</v>
      </c>
      <c r="K2563" s="139"/>
      <c r="M2563" s="172" t="s">
        <v>2267</v>
      </c>
      <c r="N2563" s="172"/>
      <c r="O2563" s="172"/>
      <c r="P2563" s="139">
        <v>14.8</v>
      </c>
      <c r="Q2563" s="172" t="s">
        <v>1840</v>
      </c>
      <c r="R2563" s="139"/>
    </row>
    <row r="2564" spans="6:18" ht="24" customHeight="1">
      <c r="F2564" s="139" t="s">
        <v>2268</v>
      </c>
      <c r="G2564" s="171"/>
      <c r="H2564" s="139"/>
      <c r="I2564" s="139">
        <v>37.67</v>
      </c>
      <c r="J2564" s="172" t="s">
        <v>392</v>
      </c>
      <c r="K2564" s="139"/>
      <c r="M2564" s="139" t="s">
        <v>2219</v>
      </c>
      <c r="N2564" s="171"/>
      <c r="O2564" s="139"/>
      <c r="P2564" s="139">
        <v>22.61</v>
      </c>
      <c r="Q2564" s="172" t="s">
        <v>1840</v>
      </c>
      <c r="R2564" s="139"/>
    </row>
    <row r="2565" spans="6:18" ht="24" customHeight="1">
      <c r="F2565" s="139" t="s">
        <v>2269</v>
      </c>
      <c r="G2565" s="171"/>
      <c r="H2565" s="139"/>
      <c r="I2565" s="139">
        <v>3.24</v>
      </c>
      <c r="J2565" s="172" t="s">
        <v>392</v>
      </c>
      <c r="K2565" s="139"/>
      <c r="M2565" s="139" t="s">
        <v>2220</v>
      </c>
      <c r="N2565" s="171"/>
      <c r="O2565" s="139"/>
      <c r="P2565" s="139">
        <v>3.24</v>
      </c>
      <c r="Q2565" s="172" t="s">
        <v>1840</v>
      </c>
      <c r="R2565" s="139"/>
    </row>
    <row r="2566" spans="6:18" ht="24" customHeight="1">
      <c r="F2566" s="139" t="s">
        <v>2270</v>
      </c>
      <c r="G2566" s="171"/>
      <c r="H2566" s="139"/>
      <c r="I2566" s="139">
        <v>3.6</v>
      </c>
      <c r="J2566" s="172" t="s">
        <v>392</v>
      </c>
      <c r="K2566" s="139"/>
      <c r="M2566" s="139" t="s">
        <v>2221</v>
      </c>
      <c r="N2566" s="171"/>
      <c r="O2566" s="139"/>
      <c r="P2566" s="139">
        <v>2.16</v>
      </c>
      <c r="Q2566" s="172" t="s">
        <v>1840</v>
      </c>
      <c r="R2566" s="139"/>
    </row>
    <row r="2567" spans="6:18" ht="24" customHeight="1">
      <c r="F2567" s="139" t="s">
        <v>2254</v>
      </c>
      <c r="G2567" s="171"/>
      <c r="H2567" s="139"/>
      <c r="I2567" s="139">
        <v>2.88</v>
      </c>
      <c r="J2567" s="172"/>
      <c r="K2567" s="139"/>
      <c r="M2567" s="139"/>
      <c r="N2567" s="171"/>
      <c r="O2567" s="139"/>
      <c r="P2567" s="139"/>
      <c r="Q2567" s="172"/>
      <c r="R2567" s="139"/>
    </row>
    <row r="2568" spans="6:18" ht="24" customHeight="1">
      <c r="F2568" s="139"/>
      <c r="G2568" s="171"/>
      <c r="H2568" s="139"/>
      <c r="I2568" s="175" t="s">
        <v>2232</v>
      </c>
      <c r="J2568" s="172"/>
      <c r="K2568" s="139"/>
      <c r="M2568" s="139"/>
      <c r="N2568" s="171"/>
      <c r="O2568" s="139"/>
      <c r="P2568" s="175" t="s">
        <v>1430</v>
      </c>
      <c r="Q2568" s="172"/>
      <c r="R2568" s="139"/>
    </row>
    <row r="2569" spans="6:18" ht="24" customHeight="1">
      <c r="F2569" s="139"/>
      <c r="G2569" s="171"/>
      <c r="H2569" s="139"/>
      <c r="I2569" s="41">
        <f>SUM(I2562:I2567)</f>
        <v>72.549999999999983</v>
      </c>
      <c r="J2569" s="172" t="s">
        <v>392</v>
      </c>
      <c r="K2569" s="139"/>
      <c r="M2569" s="139"/>
      <c r="N2569" s="171"/>
      <c r="O2569" s="139"/>
      <c r="P2569" s="139">
        <f>SUM(P2563:P2567)</f>
        <v>42.81</v>
      </c>
      <c r="Q2569" s="172"/>
      <c r="R2569" s="139"/>
    </row>
    <row r="2570" spans="6:18" ht="24" customHeight="1">
      <c r="F2570" s="139"/>
      <c r="G2570" s="171"/>
      <c r="H2570" s="139"/>
      <c r="I2570" s="175" t="s">
        <v>2232</v>
      </c>
      <c r="J2570" s="172"/>
      <c r="K2570" s="139"/>
      <c r="M2570" s="139"/>
      <c r="N2570" s="171"/>
      <c r="O2570" s="139"/>
      <c r="P2570" s="139" t="s">
        <v>2222</v>
      </c>
      <c r="Q2570" s="172"/>
      <c r="R2570" s="139"/>
    </row>
    <row r="2571" spans="6:18" ht="24" customHeight="1">
      <c r="F2571" s="139"/>
      <c r="G2571" s="171"/>
      <c r="H2571" s="139"/>
      <c r="I2571" s="139"/>
      <c r="J2571" s="172"/>
      <c r="K2571" s="139"/>
      <c r="M2571" s="139"/>
      <c r="N2571" s="171"/>
      <c r="O2571" s="139"/>
      <c r="P2571" s="139"/>
      <c r="Q2571" s="172"/>
      <c r="R2571" s="139"/>
    </row>
    <row r="2572" spans="6:18" ht="24" customHeight="1">
      <c r="F2572" s="139">
        <v>72.55</v>
      </c>
      <c r="G2572" s="171" t="s">
        <v>392</v>
      </c>
      <c r="H2572" s="139" t="s">
        <v>2256</v>
      </c>
      <c r="I2572" s="139">
        <f>I2537</f>
        <v>54.5</v>
      </c>
      <c r="J2572" s="172" t="s">
        <v>392</v>
      </c>
      <c r="K2572" s="139">
        <f>F2572*I2572</f>
        <v>3953.9749999999999</v>
      </c>
      <c r="M2572" s="139"/>
      <c r="N2572" s="171"/>
      <c r="O2572" s="139"/>
      <c r="P2572" s="139"/>
      <c r="Q2572" s="172"/>
      <c r="R2572" s="139"/>
    </row>
    <row r="2573" spans="6:18" ht="24" customHeight="1">
      <c r="F2573" s="139">
        <v>1.01</v>
      </c>
      <c r="G2573" s="171" t="s">
        <v>788</v>
      </c>
      <c r="H2573" s="139" t="s">
        <v>2223</v>
      </c>
      <c r="I2573" s="139">
        <f>I2538</f>
        <v>295</v>
      </c>
      <c r="J2573" s="172" t="s">
        <v>788</v>
      </c>
      <c r="K2573" s="139">
        <f>F2573*I2573</f>
        <v>297.95</v>
      </c>
      <c r="M2573" s="139">
        <v>42.81</v>
      </c>
      <c r="N2573" s="171" t="s">
        <v>392</v>
      </c>
      <c r="O2573" s="28" t="s">
        <v>2271</v>
      </c>
      <c r="P2573" s="139">
        <f>I2572</f>
        <v>54.5</v>
      </c>
      <c r="Q2573" s="172" t="s">
        <v>392</v>
      </c>
      <c r="R2573" s="139">
        <f>P2573*M2573</f>
        <v>2333.145</v>
      </c>
    </row>
    <row r="2574" spans="6:18" ht="24" customHeight="1">
      <c r="F2574" s="139">
        <v>1.01</v>
      </c>
      <c r="G2574" s="171" t="s">
        <v>788</v>
      </c>
      <c r="H2574" s="139" t="str">
        <f>H2539</f>
        <v>Fly proof mesh</v>
      </c>
      <c r="I2574" s="139">
        <f>I2539</f>
        <v>91</v>
      </c>
      <c r="J2574" s="172" t="s">
        <v>788</v>
      </c>
      <c r="K2574" s="139">
        <f>F2574*I2574</f>
        <v>91.91</v>
      </c>
      <c r="M2574" s="139">
        <v>0.77</v>
      </c>
      <c r="N2574" s="171" t="s">
        <v>788</v>
      </c>
      <c r="O2574" s="139" t="s">
        <v>2272</v>
      </c>
      <c r="P2574" s="139">
        <f>I2573</f>
        <v>295</v>
      </c>
      <c r="Q2574" s="172" t="s">
        <v>788</v>
      </c>
      <c r="R2574" s="139">
        <f>P2574*M2574</f>
        <v>227.15</v>
      </c>
    </row>
    <row r="2575" spans="6:18" ht="24" customHeight="1">
      <c r="F2575" s="139"/>
      <c r="G2575" s="171"/>
      <c r="H2575" s="139" t="s">
        <v>2258</v>
      </c>
      <c r="I2575" s="139">
        <v>266.49</v>
      </c>
      <c r="J2575" s="172" t="s">
        <v>106</v>
      </c>
      <c r="K2575" s="139">
        <f>I2575</f>
        <v>266.49</v>
      </c>
      <c r="M2575" s="139">
        <v>0.77</v>
      </c>
      <c r="N2575" s="171" t="s">
        <v>788</v>
      </c>
      <c r="O2575" s="217" t="s">
        <v>2273</v>
      </c>
      <c r="P2575" s="139">
        <f>I2574</f>
        <v>91</v>
      </c>
      <c r="Q2575" s="172" t="s">
        <v>788</v>
      </c>
      <c r="R2575" s="139">
        <f>P2575*M2575</f>
        <v>70.070000000000007</v>
      </c>
    </row>
    <row r="2576" spans="6:18" ht="24" customHeight="1">
      <c r="F2576" s="139"/>
      <c r="G2576" s="171"/>
      <c r="H2576" s="139"/>
      <c r="I2576" s="139"/>
      <c r="J2576" s="172"/>
      <c r="K2576" s="175" t="s">
        <v>1430</v>
      </c>
      <c r="M2576" s="139"/>
      <c r="N2576" s="171"/>
      <c r="O2576" s="139" t="s">
        <v>2225</v>
      </c>
      <c r="P2576" s="139">
        <f>46.62+0.48</f>
        <v>47.099999999999994</v>
      </c>
      <c r="Q2576" s="172" t="s">
        <v>106</v>
      </c>
      <c r="R2576" s="139">
        <f>P2576</f>
        <v>47.099999999999994</v>
      </c>
    </row>
    <row r="2577" spans="6:25" ht="24" customHeight="1">
      <c r="F2577" s="139"/>
      <c r="G2577" s="171"/>
      <c r="H2577" s="139"/>
      <c r="I2577" s="139"/>
      <c r="J2577" s="172"/>
      <c r="K2577" s="139">
        <f>SUM(K2572:K2575)</f>
        <v>4610.3249999999998</v>
      </c>
      <c r="M2577" s="139"/>
      <c r="N2577" s="171"/>
      <c r="O2577" s="139"/>
      <c r="P2577" s="139"/>
      <c r="Q2577" s="172"/>
      <c r="R2577" s="175" t="s">
        <v>1430</v>
      </c>
    </row>
    <row r="2578" spans="6:25" ht="24" customHeight="1">
      <c r="F2578" s="139"/>
      <c r="G2578" s="171"/>
      <c r="H2578" s="139" t="s">
        <v>2259</v>
      </c>
      <c r="I2578" s="139">
        <v>255</v>
      </c>
      <c r="J2578" s="172" t="s">
        <v>106</v>
      </c>
      <c r="K2578" s="28">
        <v>255</v>
      </c>
      <c r="M2578" s="139"/>
      <c r="N2578" s="171"/>
      <c r="O2578" s="41" t="s">
        <v>2226</v>
      </c>
      <c r="P2578" s="139"/>
      <c r="Q2578" s="172"/>
      <c r="R2578" s="41">
        <f>SUM(R2573:R2576)</f>
        <v>2677.4650000000001</v>
      </c>
    </row>
    <row r="2579" spans="6:25" ht="24" customHeight="1">
      <c r="F2579" s="139"/>
      <c r="G2579" s="171"/>
      <c r="H2579" s="139"/>
      <c r="I2579" s="139"/>
      <c r="J2579" s="172"/>
      <c r="K2579" s="175" t="s">
        <v>1430</v>
      </c>
      <c r="M2579" s="139"/>
      <c r="N2579" s="171"/>
      <c r="O2579" s="139"/>
      <c r="P2579" s="139"/>
      <c r="Q2579" s="172"/>
      <c r="R2579" s="175" t="s">
        <v>1430</v>
      </c>
    </row>
    <row r="2580" spans="6:25" ht="24" customHeight="1">
      <c r="F2580" s="139"/>
      <c r="G2580" s="171"/>
      <c r="H2580" s="41" t="s">
        <v>2260</v>
      </c>
      <c r="I2580" s="139"/>
      <c r="J2580" s="172"/>
      <c r="K2580" s="41">
        <f>SUM(K2577:K2578)</f>
        <v>4865.3249999999998</v>
      </c>
      <c r="N2580" s="29"/>
      <c r="O2580" s="28">
        <f>1.285*0.6</f>
        <v>0.77099999999999991</v>
      </c>
      <c r="Q2580" s="31"/>
      <c r="R2580" s="28">
        <f>R2578/O2580</f>
        <v>3472.717250324255</v>
      </c>
    </row>
    <row r="2581" spans="6:25" ht="24" customHeight="1">
      <c r="F2581" s="139"/>
      <c r="G2581" s="171"/>
      <c r="H2581" s="139"/>
      <c r="I2581" s="139"/>
      <c r="J2581" s="172"/>
      <c r="K2581" s="175" t="s">
        <v>1430</v>
      </c>
      <c r="M2581" s="139">
        <f>I2574</f>
        <v>91</v>
      </c>
      <c r="O2581" s="31">
        <f>M2581*L2540</f>
        <v>70.070000000000007</v>
      </c>
    </row>
    <row r="2582" spans="6:25" ht="24" customHeight="1">
      <c r="F2582" s="139"/>
      <c r="G2582" s="171"/>
      <c r="H2582" s="139"/>
      <c r="I2582" s="139"/>
      <c r="J2582" s="172"/>
      <c r="K2582" s="139"/>
      <c r="M2582" s="139"/>
      <c r="O2582" s="31">
        <v>0.8</v>
      </c>
    </row>
    <row r="2583" spans="6:25" ht="24" customHeight="1">
      <c r="F2583" s="139"/>
      <c r="G2583" s="171"/>
      <c r="H2583" s="139"/>
      <c r="I2583" s="139"/>
      <c r="J2583" s="172"/>
      <c r="K2583" s="139">
        <f>5261-K2580</f>
        <v>395.67500000000018</v>
      </c>
      <c r="O2583" s="31">
        <f>SUM(O2579:O2582)</f>
        <v>71.641000000000005</v>
      </c>
    </row>
    <row r="2584" spans="6:25" ht="24" customHeight="1">
      <c r="F2584" s="139"/>
      <c r="G2584" s="171"/>
      <c r="H2584" s="139"/>
      <c r="I2584" s="139"/>
      <c r="J2584" s="172"/>
      <c r="K2584" s="139"/>
      <c r="O2584" s="31">
        <f>O2583/0.77</f>
        <v>93.040259740259742</v>
      </c>
    </row>
    <row r="2585" spans="6:25" ht="24" customHeight="1">
      <c r="F2585" s="139"/>
      <c r="G2585" s="171"/>
      <c r="H2585" s="41" t="s">
        <v>2261</v>
      </c>
      <c r="I2585" s="139"/>
      <c r="J2585" s="172"/>
      <c r="K2585" s="139"/>
    </row>
    <row r="2586" spans="6:25" ht="24" customHeight="1">
      <c r="F2586" s="139"/>
      <c r="G2586" s="171"/>
      <c r="H2586" s="139"/>
      <c r="I2586" s="139"/>
      <c r="J2586" s="172"/>
      <c r="K2586" s="139"/>
    </row>
    <row r="2587" spans="6:25" ht="24" customHeight="1">
      <c r="F2587" s="41" t="s">
        <v>2245</v>
      </c>
      <c r="G2587" s="101"/>
      <c r="H2587" s="139"/>
      <c r="I2587" s="139"/>
      <c r="J2587" s="172"/>
      <c r="K2587" s="139"/>
      <c r="S2587" s="174"/>
      <c r="T2587" s="171"/>
      <c r="U2587" s="28" t="s">
        <v>2274</v>
      </c>
      <c r="V2587" s="139"/>
      <c r="W2587" s="172"/>
      <c r="X2587" s="139"/>
      <c r="Y2587" s="139"/>
    </row>
    <row r="2588" spans="6:25" ht="24" customHeight="1">
      <c r="F2588" s="139"/>
      <c r="G2588" s="171"/>
      <c r="H2588" s="139"/>
      <c r="I2588" s="139"/>
      <c r="J2588" s="172"/>
      <c r="K2588" s="139"/>
      <c r="S2588" s="174"/>
      <c r="T2588" s="171"/>
      <c r="U2588" s="139"/>
      <c r="V2588" s="139"/>
      <c r="W2588" s="172"/>
      <c r="X2588" s="139"/>
      <c r="Y2588" s="139"/>
    </row>
    <row r="2589" spans="6:25" ht="24" customHeight="1">
      <c r="F2589" s="139" t="s">
        <v>2262</v>
      </c>
      <c r="G2589" s="171"/>
      <c r="H2589" s="139"/>
      <c r="I2589" s="174">
        <v>2.944</v>
      </c>
      <c r="J2589" s="172" t="s">
        <v>392</v>
      </c>
      <c r="K2589" s="139"/>
      <c r="S2589" s="174" t="s">
        <v>2275</v>
      </c>
      <c r="T2589" s="171"/>
      <c r="U2589" s="139"/>
      <c r="V2589" s="328">
        <f>2*0.85*2.025</f>
        <v>3.4424999999999999</v>
      </c>
      <c r="W2589" s="172"/>
      <c r="X2589" s="139"/>
      <c r="Y2589" s="139"/>
    </row>
    <row r="2590" spans="6:25" ht="24" customHeight="1">
      <c r="F2590" s="139" t="s">
        <v>2263</v>
      </c>
      <c r="G2590" s="171"/>
      <c r="H2590" s="139"/>
      <c r="I2590" s="174">
        <v>2.355</v>
      </c>
      <c r="J2590" s="172" t="s">
        <v>392</v>
      </c>
      <c r="K2590" s="139"/>
      <c r="S2590" s="174" t="s">
        <v>2276</v>
      </c>
      <c r="T2590" s="171"/>
      <c r="U2590" s="139"/>
      <c r="V2590" s="328">
        <v>2.2800000000000001E-2</v>
      </c>
      <c r="W2590" s="172"/>
      <c r="X2590" s="139"/>
      <c r="Y2590" s="139"/>
    </row>
    <row r="2591" spans="6:25" ht="24" customHeight="1">
      <c r="F2591" s="139" t="s">
        <v>2264</v>
      </c>
      <c r="G2591" s="171"/>
      <c r="H2591" s="139"/>
      <c r="I2591" s="174">
        <v>0.88300000000000001</v>
      </c>
      <c r="J2591" s="172" t="s">
        <v>392</v>
      </c>
      <c r="K2591" s="139"/>
      <c r="S2591" s="174" t="s">
        <v>2277</v>
      </c>
      <c r="T2591" s="171"/>
      <c r="U2591" s="139"/>
      <c r="V2591" s="170">
        <f>2*3*0.85*0.15*0.0375</f>
        <v>2.8687499999999994E-2</v>
      </c>
      <c r="W2591" s="172"/>
      <c r="X2591" s="139"/>
      <c r="Y2591" s="139"/>
    </row>
    <row r="2592" spans="6:25" ht="24" customHeight="1">
      <c r="F2592" s="139"/>
      <c r="G2592" s="171"/>
      <c r="H2592" s="139"/>
      <c r="I2592" s="139"/>
      <c r="J2592" s="172"/>
      <c r="K2592" s="139"/>
      <c r="S2592" s="174"/>
      <c r="T2592" s="171" t="s">
        <v>2278</v>
      </c>
      <c r="U2592" s="139"/>
      <c r="V2592" s="170">
        <f>2*3*0.85*0.075*0.0375</f>
        <v>1.4343749999999997E-2</v>
      </c>
      <c r="W2592" s="172"/>
      <c r="X2592" s="139"/>
      <c r="Y2592" s="139"/>
    </row>
    <row r="2593" spans="6:35" ht="24" customHeight="1">
      <c r="F2593" s="139"/>
      <c r="G2593" s="171"/>
      <c r="H2593" s="139"/>
      <c r="I2593" s="139"/>
      <c r="J2593" s="172"/>
      <c r="K2593" s="139"/>
      <c r="S2593" s="174"/>
      <c r="T2593" s="171"/>
      <c r="U2593" s="139"/>
      <c r="V2593" s="329">
        <f>SUM(V2591:V2592)</f>
        <v>4.3031249999999993E-2</v>
      </c>
      <c r="W2593" s="172"/>
      <c r="X2593" s="139"/>
      <c r="Y2593" s="139"/>
    </row>
    <row r="2594" spans="6:35" ht="24" customHeight="1">
      <c r="F2594" s="139"/>
      <c r="G2594" s="171"/>
      <c r="H2594" s="41" t="s">
        <v>2261</v>
      </c>
      <c r="I2594" s="139"/>
      <c r="J2594" s="172"/>
      <c r="K2594" s="139"/>
      <c r="S2594" s="174"/>
      <c r="T2594" s="171"/>
      <c r="U2594" s="139"/>
      <c r="V2594" s="139"/>
      <c r="W2594" s="172"/>
      <c r="X2594" s="139"/>
      <c r="Y2594" s="139"/>
    </row>
    <row r="2595" spans="6:35" ht="24" customHeight="1">
      <c r="F2595" s="139"/>
      <c r="G2595" s="171"/>
      <c r="H2595" s="139"/>
      <c r="I2595" s="139"/>
      <c r="J2595" s="172"/>
      <c r="K2595" s="139"/>
      <c r="S2595" s="174"/>
      <c r="T2595" s="171"/>
      <c r="U2595" s="139"/>
      <c r="V2595" s="139"/>
      <c r="W2595" s="172"/>
      <c r="X2595" s="139"/>
      <c r="Y2595" s="139"/>
    </row>
    <row r="2596" spans="6:35" ht="24" customHeight="1">
      <c r="F2596" s="139"/>
      <c r="G2596" s="171"/>
      <c r="H2596" s="139"/>
      <c r="I2596" s="139"/>
      <c r="J2596" s="172"/>
      <c r="K2596" s="139"/>
      <c r="S2596" s="174" t="s">
        <v>2279</v>
      </c>
      <c r="T2596" s="171"/>
      <c r="U2596" s="139"/>
      <c r="V2596" s="170">
        <f>2*4*0.725*0.3*0.01875</f>
        <v>3.2625000000000001E-2</v>
      </c>
      <c r="W2596" s="172"/>
      <c r="X2596" s="139"/>
      <c r="Y2596" s="139"/>
    </row>
    <row r="2597" spans="6:35" ht="24" customHeight="1">
      <c r="F2597" s="139" t="s">
        <v>2265</v>
      </c>
      <c r="G2597" s="171"/>
      <c r="H2597" s="139"/>
      <c r="I2597" s="139">
        <v>16.38</v>
      </c>
      <c r="J2597" s="172" t="s">
        <v>392</v>
      </c>
      <c r="K2597" s="139"/>
      <c r="S2597" s="174" t="s">
        <v>2280</v>
      </c>
      <c r="T2597" s="171"/>
      <c r="U2597" s="139"/>
      <c r="V2597" s="170">
        <f>2*0.725*0.3*0.01875</f>
        <v>8.1562500000000003E-3</v>
      </c>
      <c r="W2597" s="172"/>
      <c r="X2597" s="139"/>
      <c r="Y2597" s="139"/>
    </row>
    <row r="2598" spans="6:35" ht="24" customHeight="1">
      <c r="F2598" s="139" t="s">
        <v>2266</v>
      </c>
      <c r="G2598" s="171"/>
      <c r="H2598" s="139"/>
      <c r="I2598" s="139">
        <v>8.7799999999999994</v>
      </c>
      <c r="J2598" s="172" t="s">
        <v>392</v>
      </c>
      <c r="K2598" s="139"/>
      <c r="S2598" s="174"/>
      <c r="T2598" s="171"/>
      <c r="U2598" s="139"/>
      <c r="V2598" s="329">
        <f>SUM(V2596:V2597)</f>
        <v>4.0781250000000005E-2</v>
      </c>
      <c r="W2598" s="172"/>
      <c r="X2598" s="139"/>
      <c r="Y2598" s="139"/>
    </row>
    <row r="2599" spans="6:35" ht="24" customHeight="1">
      <c r="F2599" s="139" t="s">
        <v>2268</v>
      </c>
      <c r="G2599" s="171"/>
      <c r="H2599" s="139"/>
      <c r="I2599" s="139">
        <v>37.67</v>
      </c>
      <c r="J2599" s="172" t="s">
        <v>392</v>
      </c>
      <c r="K2599" s="139"/>
      <c r="S2599" s="174"/>
      <c r="T2599" s="171"/>
      <c r="U2599" s="41" t="s">
        <v>2281</v>
      </c>
      <c r="V2599" s="139"/>
      <c r="W2599" s="172"/>
      <c r="X2599" s="139"/>
      <c r="Y2599" s="139"/>
      <c r="Z2599" s="127">
        <v>2.3099999999999999E-2</v>
      </c>
      <c r="AA2599" s="28">
        <f>Z2599*V2601</f>
        <v>2577.96</v>
      </c>
    </row>
    <row r="2600" spans="6:35" ht="24" customHeight="1">
      <c r="F2600" s="139" t="s">
        <v>2269</v>
      </c>
      <c r="G2600" s="171"/>
      <c r="H2600" s="139"/>
      <c r="I2600" s="139">
        <v>3.24</v>
      </c>
      <c r="J2600" s="172" t="s">
        <v>392</v>
      </c>
      <c r="K2600" s="139"/>
      <c r="S2600" s="174"/>
      <c r="T2600" s="171"/>
      <c r="U2600" s="139"/>
      <c r="V2600" s="139"/>
      <c r="W2600" s="172"/>
      <c r="X2600" s="139"/>
      <c r="Y2600" s="139"/>
      <c r="Z2600" s="127">
        <v>4.48E-2</v>
      </c>
      <c r="AA2600" s="28">
        <f>Z2600*V2602</f>
        <v>4453.12</v>
      </c>
    </row>
    <row r="2601" spans="6:35" ht="40.5" customHeight="1">
      <c r="F2601" s="139" t="s">
        <v>2270</v>
      </c>
      <c r="G2601" s="171"/>
      <c r="H2601" s="139"/>
      <c r="I2601" s="139">
        <v>3.6</v>
      </c>
      <c r="J2601" s="172" t="s">
        <v>392</v>
      </c>
      <c r="K2601" s="139"/>
      <c r="S2601" s="170">
        <f>V2590</f>
        <v>2.2800000000000001E-2</v>
      </c>
      <c r="T2601" s="171" t="s">
        <v>93</v>
      </c>
      <c r="U2601" s="139" t="s">
        <v>2282</v>
      </c>
      <c r="V2601" s="139">
        <f>I2633</f>
        <v>111600</v>
      </c>
      <c r="W2601" s="172" t="s">
        <v>93</v>
      </c>
      <c r="X2601" s="139">
        <f>S2601*V2601</f>
        <v>2544.48</v>
      </c>
      <c r="Y2601" s="139"/>
      <c r="Z2601" s="127">
        <v>2.2690000000000001</v>
      </c>
      <c r="AA2601" s="28">
        <f>Z2601*336</f>
        <v>762.38400000000001</v>
      </c>
      <c r="AD2601" s="139"/>
      <c r="AE2601" s="171"/>
      <c r="AF2601" s="715" t="s">
        <v>2283</v>
      </c>
      <c r="AG2601" s="715"/>
      <c r="AH2601" s="715"/>
      <c r="AI2601" s="715"/>
    </row>
    <row r="2602" spans="6:35" ht="24" customHeight="1">
      <c r="F2602" s="139" t="s">
        <v>2254</v>
      </c>
      <c r="G2602" s="171"/>
      <c r="H2602" s="139"/>
      <c r="I2602" s="139">
        <v>2.88</v>
      </c>
      <c r="J2602" s="172"/>
      <c r="K2602" s="139"/>
      <c r="S2602" s="170">
        <f>V2593</f>
        <v>4.3031249999999993E-2</v>
      </c>
      <c r="T2602" s="171" t="s">
        <v>93</v>
      </c>
      <c r="U2602" s="139" t="s">
        <v>1416</v>
      </c>
      <c r="V2602" s="139">
        <f t="shared" ref="V2602:V2610" si="237">I2634</f>
        <v>99400</v>
      </c>
      <c r="W2602" s="172" t="s">
        <v>93</v>
      </c>
      <c r="X2602" s="139">
        <f t="shared" ref="X2602:X2612" si="238">S2602*V2602</f>
        <v>4277.3062499999996</v>
      </c>
      <c r="Y2602" s="139"/>
      <c r="Z2602" s="127">
        <v>3.4849999999999999</v>
      </c>
      <c r="AA2602" s="28">
        <f>Z2602*V2604</f>
        <v>5635.2449999999999</v>
      </c>
      <c r="AD2602" s="139"/>
      <c r="AE2602" s="171"/>
      <c r="AF2602" s="139"/>
      <c r="AG2602" s="139"/>
      <c r="AH2602" s="172"/>
      <c r="AI2602" s="139"/>
    </row>
    <row r="2603" spans="6:35" ht="24" customHeight="1">
      <c r="F2603" s="139"/>
      <c r="G2603" s="171"/>
      <c r="H2603" s="139"/>
      <c r="I2603" s="175" t="s">
        <v>2232</v>
      </c>
      <c r="J2603" s="172"/>
      <c r="K2603" s="139"/>
      <c r="S2603" s="170">
        <f>V2598</f>
        <v>4.0781250000000005E-2</v>
      </c>
      <c r="T2603" s="171" t="s">
        <v>93</v>
      </c>
      <c r="U2603" s="139" t="s">
        <v>1417</v>
      </c>
      <c r="V2603" s="139">
        <f t="shared" si="237"/>
        <v>101921.4</v>
      </c>
      <c r="W2603" s="172" t="s">
        <v>93</v>
      </c>
      <c r="X2603" s="139">
        <f t="shared" si="238"/>
        <v>4156.4820937499999</v>
      </c>
      <c r="Y2603" s="139"/>
      <c r="Z2603" s="127">
        <v>2</v>
      </c>
      <c r="AA2603" s="28">
        <f>Z2603*V2605</f>
        <v>900</v>
      </c>
      <c r="AD2603" s="139" t="s">
        <v>2284</v>
      </c>
      <c r="AE2603" s="171"/>
      <c r="AF2603" s="139"/>
      <c r="AG2603" s="328">
        <f>2*0.95*2.025</f>
        <v>3.8474999999999997</v>
      </c>
      <c r="AH2603" s="172"/>
      <c r="AI2603" s="139"/>
    </row>
    <row r="2604" spans="6:35" ht="24" customHeight="1">
      <c r="F2604" s="139"/>
      <c r="G2604" s="171"/>
      <c r="H2604" s="139"/>
      <c r="I2604" s="41">
        <f>SUM(I2597:I2602)</f>
        <v>72.549999999999983</v>
      </c>
      <c r="J2604" s="172" t="s">
        <v>392</v>
      </c>
      <c r="K2604" s="139"/>
      <c r="S2604" s="170">
        <f>V2589</f>
        <v>3.4424999999999999</v>
      </c>
      <c r="T2604" s="171" t="s">
        <v>438</v>
      </c>
      <c r="U2604" s="139" t="s">
        <v>1418</v>
      </c>
      <c r="V2604" s="139">
        <f t="shared" si="237"/>
        <v>1617</v>
      </c>
      <c r="W2604" s="172" t="s">
        <v>438</v>
      </c>
      <c r="X2604" s="139">
        <f t="shared" si="238"/>
        <v>5566.5225</v>
      </c>
      <c r="Y2604" s="139"/>
      <c r="Z2604" s="127">
        <v>6</v>
      </c>
      <c r="AA2604" s="28">
        <f>Z2604*V2606</f>
        <v>474</v>
      </c>
      <c r="AD2604" s="139" t="s">
        <v>2276</v>
      </c>
      <c r="AE2604" s="171"/>
      <c r="AF2604" s="139"/>
      <c r="AG2604" s="328">
        <v>2.2800000000000001E-2</v>
      </c>
      <c r="AH2604" s="172"/>
      <c r="AI2604" s="139"/>
    </row>
    <row r="2605" spans="6:35" ht="24" customHeight="1">
      <c r="F2605" s="139"/>
      <c r="G2605" s="171"/>
      <c r="H2605" s="139"/>
      <c r="I2605" s="175" t="s">
        <v>2232</v>
      </c>
      <c r="J2605" s="172"/>
      <c r="K2605" s="139"/>
      <c r="S2605" s="174">
        <v>2</v>
      </c>
      <c r="T2605" s="171" t="s">
        <v>1420</v>
      </c>
      <c r="U2605" s="139" t="s">
        <v>1421</v>
      </c>
      <c r="V2605" s="139">
        <f t="shared" si="237"/>
        <v>450</v>
      </c>
      <c r="W2605" s="172" t="s">
        <v>793</v>
      </c>
      <c r="X2605" s="139">
        <f t="shared" si="238"/>
        <v>900</v>
      </c>
      <c r="Y2605" s="139"/>
      <c r="Z2605" s="127">
        <v>4</v>
      </c>
      <c r="AA2605" s="28">
        <f>Z2605*V2607</f>
        <v>520</v>
      </c>
      <c r="AD2605" s="139" t="s">
        <v>2285</v>
      </c>
      <c r="AE2605" s="171"/>
      <c r="AF2605" s="139"/>
      <c r="AG2605" s="170">
        <f>2*3*0.95*0.15*0.0375</f>
        <v>3.2062499999999994E-2</v>
      </c>
      <c r="AH2605" s="172"/>
      <c r="AI2605" s="139"/>
    </row>
    <row r="2606" spans="6:35" ht="24" customHeight="1">
      <c r="F2606" s="139"/>
      <c r="G2606" s="171"/>
      <c r="H2606" s="139"/>
      <c r="I2606" s="139"/>
      <c r="J2606" s="172"/>
      <c r="K2606" s="139"/>
      <c r="S2606" s="174">
        <v>6</v>
      </c>
      <c r="T2606" s="171" t="s">
        <v>1420</v>
      </c>
      <c r="U2606" s="139" t="s">
        <v>1422</v>
      </c>
      <c r="V2606" s="139">
        <f t="shared" si="237"/>
        <v>79</v>
      </c>
      <c r="W2606" s="172" t="s">
        <v>793</v>
      </c>
      <c r="X2606" s="139">
        <f t="shared" si="238"/>
        <v>474</v>
      </c>
      <c r="Y2606" s="139"/>
      <c r="Z2606" s="127">
        <v>1</v>
      </c>
      <c r="AA2606" s="28">
        <f>Z2606*X2608</f>
        <v>985</v>
      </c>
      <c r="AD2606" s="139"/>
      <c r="AE2606" s="171" t="s">
        <v>2286</v>
      </c>
      <c r="AF2606" s="139"/>
      <c r="AG2606" s="170">
        <f>2*3*0.95*0.075*0.0375</f>
        <v>1.6031249999999997E-2</v>
      </c>
      <c r="AH2606" s="172"/>
      <c r="AI2606" s="139"/>
    </row>
    <row r="2607" spans="6:35" ht="24" customHeight="1">
      <c r="F2607" s="139">
        <v>73</v>
      </c>
      <c r="G2607" s="171" t="s">
        <v>392</v>
      </c>
      <c r="H2607" s="139" t="s">
        <v>2256</v>
      </c>
      <c r="I2607" s="139">
        <f>I2572</f>
        <v>54.5</v>
      </c>
      <c r="J2607" s="172" t="s">
        <v>392</v>
      </c>
      <c r="K2607" s="139">
        <f>F2607*I2607</f>
        <v>3978.5</v>
      </c>
      <c r="S2607" s="174">
        <v>4</v>
      </c>
      <c r="T2607" s="171" t="s">
        <v>1420</v>
      </c>
      <c r="U2607" s="139" t="s">
        <v>1423</v>
      </c>
      <c r="V2607" s="139">
        <f t="shared" si="237"/>
        <v>130</v>
      </c>
      <c r="W2607" s="172" t="s">
        <v>793</v>
      </c>
      <c r="X2607" s="139">
        <f t="shared" si="238"/>
        <v>520</v>
      </c>
      <c r="Y2607" s="139"/>
      <c r="Z2607" s="127">
        <v>2</v>
      </c>
      <c r="AA2607" s="28">
        <f>Z2607*V2609</f>
        <v>15</v>
      </c>
      <c r="AD2607" s="139"/>
      <c r="AE2607" s="171"/>
      <c r="AF2607" s="139"/>
      <c r="AG2607" s="329">
        <f>SUM(AG2605:AG2606)</f>
        <v>4.8093749999999991E-2</v>
      </c>
      <c r="AH2607" s="172"/>
      <c r="AI2607" s="139"/>
    </row>
    <row r="2608" spans="6:35" ht="24" customHeight="1">
      <c r="F2608" s="139">
        <v>1.01</v>
      </c>
      <c r="G2608" s="171" t="s">
        <v>788</v>
      </c>
      <c r="H2608" s="139" t="s">
        <v>2223</v>
      </c>
      <c r="I2608" s="139">
        <f>I2573</f>
        <v>295</v>
      </c>
      <c r="J2608" s="172" t="s">
        <v>788</v>
      </c>
      <c r="K2608" s="139">
        <f>F2608*I2608</f>
        <v>297.95</v>
      </c>
      <c r="S2608" s="174">
        <v>1</v>
      </c>
      <c r="T2608" s="171" t="s">
        <v>1420</v>
      </c>
      <c r="U2608" s="139" t="s">
        <v>1425</v>
      </c>
      <c r="V2608" s="139">
        <f t="shared" si="237"/>
        <v>985</v>
      </c>
      <c r="W2608" s="172" t="s">
        <v>793</v>
      </c>
      <c r="X2608" s="139">
        <f t="shared" si="238"/>
        <v>985</v>
      </c>
      <c r="Y2608" s="139"/>
      <c r="Z2608" s="127">
        <v>2</v>
      </c>
      <c r="AA2608" s="28">
        <f>Z2608*V2610</f>
        <v>87.6</v>
      </c>
      <c r="AD2608" s="139"/>
      <c r="AE2608" s="171"/>
      <c r="AF2608" s="139"/>
      <c r="AG2608" s="139"/>
      <c r="AH2608" s="172"/>
      <c r="AI2608" s="139"/>
    </row>
    <row r="2609" spans="6:35" ht="24" customHeight="1">
      <c r="F2609" s="139">
        <v>1.01</v>
      </c>
      <c r="G2609" s="171" t="s">
        <v>788</v>
      </c>
      <c r="H2609" s="139" t="s">
        <v>2287</v>
      </c>
      <c r="I2609" s="139">
        <f>C198</f>
        <v>31.65</v>
      </c>
      <c r="J2609" s="172" t="s">
        <v>788</v>
      </c>
      <c r="K2609" s="139">
        <f>F2609*I2609</f>
        <v>31.9665</v>
      </c>
      <c r="S2609" s="174">
        <v>2</v>
      </c>
      <c r="T2609" s="171" t="s">
        <v>1420</v>
      </c>
      <c r="U2609" s="139" t="s">
        <v>461</v>
      </c>
      <c r="V2609" s="139">
        <v>7.5</v>
      </c>
      <c r="W2609" s="172" t="s">
        <v>793</v>
      </c>
      <c r="X2609" s="139">
        <f t="shared" si="238"/>
        <v>15</v>
      </c>
      <c r="Y2609" s="139"/>
      <c r="Z2609" s="127"/>
      <c r="AA2609" s="28">
        <v>20</v>
      </c>
      <c r="AD2609" s="139"/>
      <c r="AE2609" s="171"/>
      <c r="AF2609" s="139"/>
      <c r="AG2609" s="139"/>
      <c r="AH2609" s="172"/>
      <c r="AI2609" s="139"/>
    </row>
    <row r="2610" spans="6:35" ht="24" customHeight="1">
      <c r="F2610" s="139"/>
      <c r="G2610" s="171"/>
      <c r="H2610" s="139" t="s">
        <v>2258</v>
      </c>
      <c r="I2610" s="324">
        <v>266.81</v>
      </c>
      <c r="J2610" s="172" t="s">
        <v>106</v>
      </c>
      <c r="K2610" s="139">
        <f>I2610</f>
        <v>266.81</v>
      </c>
      <c r="S2610" s="174">
        <v>2</v>
      </c>
      <c r="T2610" s="171" t="s">
        <v>1420</v>
      </c>
      <c r="U2610" s="139" t="s">
        <v>463</v>
      </c>
      <c r="V2610" s="139">
        <f t="shared" si="237"/>
        <v>43.8</v>
      </c>
      <c r="W2610" s="172" t="s">
        <v>793</v>
      </c>
      <c r="X2610" s="139">
        <f t="shared" si="238"/>
        <v>87.6</v>
      </c>
      <c r="Y2610" s="139"/>
      <c r="AA2610" s="28">
        <f>SUM(AA2599:AA2609)</f>
        <v>16430.308999999997</v>
      </c>
      <c r="AD2610" s="139" t="s">
        <v>2288</v>
      </c>
      <c r="AE2610" s="171"/>
      <c r="AF2610" s="139"/>
      <c r="AG2610" s="170">
        <f>2*4*0.825*0.3*0.01875</f>
        <v>3.7124999999999991E-2</v>
      </c>
      <c r="AH2610" s="172"/>
      <c r="AI2610" s="139"/>
    </row>
    <row r="2611" spans="6:35" ht="24" customHeight="1">
      <c r="F2611" s="139"/>
      <c r="G2611" s="171"/>
      <c r="H2611" s="139"/>
      <c r="I2611" s="139"/>
      <c r="J2611" s="172"/>
      <c r="K2611" s="175" t="s">
        <v>1430</v>
      </c>
      <c r="S2611" s="174"/>
      <c r="T2611" s="171"/>
      <c r="U2611" s="139"/>
      <c r="V2611" s="139"/>
      <c r="W2611" s="172"/>
      <c r="X2611" s="139"/>
      <c r="Y2611" s="139"/>
      <c r="AA2611" s="28">
        <f>AA2610/3.485</f>
        <v>4714.5793400286939</v>
      </c>
      <c r="AD2611" s="139" t="s">
        <v>2289</v>
      </c>
      <c r="AE2611" s="171"/>
      <c r="AF2611" s="139"/>
      <c r="AG2611" s="170">
        <f>2*0.825*0.3*0.01875</f>
        <v>9.2812499999999978E-3</v>
      </c>
      <c r="AH2611" s="172"/>
      <c r="AI2611" s="139"/>
    </row>
    <row r="2612" spans="6:35" ht="24" customHeight="1">
      <c r="F2612" s="139"/>
      <c r="G2612" s="171"/>
      <c r="H2612" s="139"/>
      <c r="I2612" s="139"/>
      <c r="J2612" s="172"/>
      <c r="K2612" s="139">
        <f>SUM(K2607:K2610)</f>
        <v>4575.2265000000007</v>
      </c>
      <c r="S2612" s="174">
        <v>10</v>
      </c>
      <c r="T2612" s="171"/>
      <c r="U2612" s="139" t="s">
        <v>1352</v>
      </c>
      <c r="V2612" s="139">
        <f>I2643</f>
        <v>2.37</v>
      </c>
      <c r="W2612" s="172"/>
      <c r="X2612" s="139">
        <f t="shared" si="238"/>
        <v>23.700000000000003</v>
      </c>
      <c r="Y2612" s="139"/>
      <c r="AD2612" s="139"/>
      <c r="AE2612" s="171"/>
      <c r="AF2612" s="139"/>
      <c r="AG2612" s="329">
        <f>SUM(AG2610:AG2611)</f>
        <v>4.6406249999999989E-2</v>
      </c>
      <c r="AH2612" s="172"/>
      <c r="AI2612" s="139"/>
    </row>
    <row r="2613" spans="6:35" ht="24" customHeight="1">
      <c r="F2613" s="139"/>
      <c r="G2613" s="171"/>
      <c r="H2613" s="139" t="s">
        <v>2259</v>
      </c>
      <c r="I2613" s="324">
        <v>255</v>
      </c>
      <c r="J2613" s="172" t="s">
        <v>106</v>
      </c>
      <c r="K2613" s="139">
        <v>255</v>
      </c>
      <c r="S2613" s="174"/>
      <c r="T2613" s="101"/>
      <c r="U2613" s="41" t="s">
        <v>403</v>
      </c>
      <c r="V2613" s="139"/>
      <c r="W2613" s="172"/>
      <c r="X2613" s="41">
        <f>SUM(X2601:X2612)</f>
        <v>19550.090843749997</v>
      </c>
      <c r="Y2613" s="41"/>
      <c r="AD2613" s="139"/>
      <c r="AE2613" s="171"/>
      <c r="AF2613" s="41" t="s">
        <v>2281</v>
      </c>
      <c r="AG2613" s="139"/>
      <c r="AH2613" s="172"/>
      <c r="AI2613" s="139"/>
    </row>
    <row r="2614" spans="6:35" ht="24" customHeight="1">
      <c r="F2614" s="139"/>
      <c r="G2614" s="171"/>
      <c r="H2614" s="139"/>
      <c r="I2614" s="139"/>
      <c r="J2614" s="172"/>
      <c r="K2614" s="175" t="s">
        <v>1430</v>
      </c>
      <c r="S2614" s="174"/>
      <c r="T2614" s="101"/>
      <c r="U2614" s="41"/>
      <c r="V2614" s="139"/>
      <c r="W2614" s="172"/>
      <c r="X2614" s="175" t="s">
        <v>1430</v>
      </c>
      <c r="Y2614" s="175"/>
      <c r="AD2614" s="139"/>
      <c r="AE2614" s="171"/>
      <c r="AF2614" s="139"/>
      <c r="AG2614" s="139"/>
      <c r="AH2614" s="172"/>
      <c r="AI2614" s="139"/>
    </row>
    <row r="2615" spans="6:35" ht="24" customHeight="1">
      <c r="F2615" s="139"/>
      <c r="G2615" s="171"/>
      <c r="H2615" s="41" t="s">
        <v>2260</v>
      </c>
      <c r="I2615" s="139"/>
      <c r="J2615" s="172"/>
      <c r="K2615" s="41">
        <f>SUM(K2612:K2613)</f>
        <v>4830.2265000000007</v>
      </c>
      <c r="M2615" s="28">
        <f>5227-K2615</f>
        <v>396.77349999999933</v>
      </c>
      <c r="S2615" s="174"/>
      <c r="T2615" s="101"/>
      <c r="U2615" s="41" t="s">
        <v>2290</v>
      </c>
      <c r="V2615" s="139"/>
      <c r="W2615" s="172"/>
      <c r="X2615" s="41">
        <f>X2613/3.4425</f>
        <v>5679.0387345679001</v>
      </c>
      <c r="Y2615" s="41"/>
      <c r="AD2615" s="170">
        <f>AG2604</f>
        <v>2.2800000000000001E-2</v>
      </c>
      <c r="AE2615" s="171" t="s">
        <v>93</v>
      </c>
      <c r="AF2615" s="139" t="s">
        <v>2282</v>
      </c>
      <c r="AG2615" s="139">
        <f>V2601</f>
        <v>111600</v>
      </c>
      <c r="AH2615" s="172" t="s">
        <v>93</v>
      </c>
      <c r="AI2615" s="139">
        <f>AD2615*AG2615</f>
        <v>2544.48</v>
      </c>
    </row>
    <row r="2616" spans="6:35" ht="24" customHeight="1">
      <c r="F2616" s="139"/>
      <c r="G2616" s="171"/>
      <c r="H2616" s="139"/>
      <c r="I2616" s="139"/>
      <c r="J2616" s="172"/>
      <c r="K2616" s="175" t="s">
        <v>1430</v>
      </c>
      <c r="AD2616" s="170">
        <f>AG2607</f>
        <v>4.8093749999999991E-2</v>
      </c>
      <c r="AE2616" s="171" t="s">
        <v>93</v>
      </c>
      <c r="AF2616" s="139" t="s">
        <v>1416</v>
      </c>
      <c r="AG2616" s="139">
        <f t="shared" ref="AG2616:AG2624" si="239">V2602</f>
        <v>99400</v>
      </c>
      <c r="AH2616" s="172" t="s">
        <v>93</v>
      </c>
      <c r="AI2616" s="139">
        <f t="shared" ref="AI2616:AI2624" si="240">AD2616*AG2616</f>
        <v>4780.5187499999993</v>
      </c>
    </row>
    <row r="2617" spans="6:35" ht="24" customHeight="1">
      <c r="F2617" s="139"/>
      <c r="G2617" s="171"/>
      <c r="H2617" s="139"/>
      <c r="I2617" s="139"/>
      <c r="J2617" s="172"/>
      <c r="K2617" s="139"/>
      <c r="AD2617" s="173">
        <f>AG2612</f>
        <v>4.6406249999999989E-2</v>
      </c>
      <c r="AE2617" s="171" t="s">
        <v>93</v>
      </c>
      <c r="AF2617" s="139" t="s">
        <v>1417</v>
      </c>
      <c r="AG2617" s="139">
        <f t="shared" si="239"/>
        <v>101921.4</v>
      </c>
      <c r="AH2617" s="172" t="s">
        <v>93</v>
      </c>
      <c r="AI2617" s="139">
        <f t="shared" si="240"/>
        <v>4729.7899687499985</v>
      </c>
    </row>
    <row r="2618" spans="6:35" ht="24" customHeight="1">
      <c r="F2618" s="139"/>
      <c r="G2618" s="171"/>
      <c r="H2618" s="139"/>
      <c r="I2618" s="139"/>
      <c r="J2618" s="172"/>
      <c r="K2618" s="139"/>
      <c r="AD2618" s="170">
        <f>AG2603</f>
        <v>3.8474999999999997</v>
      </c>
      <c r="AE2618" s="171" t="s">
        <v>438</v>
      </c>
      <c r="AF2618" s="139" t="s">
        <v>1418</v>
      </c>
      <c r="AG2618" s="139">
        <f t="shared" si="239"/>
        <v>1617</v>
      </c>
      <c r="AH2618" s="172" t="s">
        <v>438</v>
      </c>
      <c r="AI2618" s="139">
        <f t="shared" si="240"/>
        <v>6221.4074999999993</v>
      </c>
    </row>
    <row r="2619" spans="6:35" ht="24" customHeight="1">
      <c r="F2619" s="139"/>
      <c r="G2619" s="171"/>
      <c r="H2619" s="41" t="s">
        <v>2291</v>
      </c>
      <c r="I2619" s="41"/>
      <c r="J2619" s="172"/>
      <c r="K2619" s="139"/>
      <c r="AD2619" s="139">
        <v>2</v>
      </c>
      <c r="AE2619" s="171" t="s">
        <v>1420</v>
      </c>
      <c r="AF2619" s="139" t="s">
        <v>1421</v>
      </c>
      <c r="AG2619" s="139">
        <f t="shared" si="239"/>
        <v>450</v>
      </c>
      <c r="AH2619" s="172" t="s">
        <v>793</v>
      </c>
      <c r="AI2619" s="139">
        <f t="shared" si="240"/>
        <v>900</v>
      </c>
    </row>
    <row r="2620" spans="6:35" ht="24" customHeight="1">
      <c r="F2620" s="139"/>
      <c r="G2620" s="171"/>
      <c r="H2620" s="139"/>
      <c r="I2620" s="139"/>
      <c r="J2620" s="172"/>
      <c r="K2620" s="139"/>
      <c r="AD2620" s="139">
        <v>6</v>
      </c>
      <c r="AE2620" s="171" t="s">
        <v>1420</v>
      </c>
      <c r="AF2620" s="139" t="s">
        <v>1422</v>
      </c>
      <c r="AG2620" s="139">
        <f t="shared" si="239"/>
        <v>79</v>
      </c>
      <c r="AH2620" s="172" t="s">
        <v>793</v>
      </c>
      <c r="AI2620" s="139">
        <f t="shared" si="240"/>
        <v>474</v>
      </c>
    </row>
    <row r="2621" spans="6:35" ht="24" customHeight="1">
      <c r="F2621" s="139" t="s">
        <v>2292</v>
      </c>
      <c r="G2621" s="171"/>
      <c r="H2621" s="139"/>
      <c r="I2621" s="139"/>
      <c r="J2621" s="172"/>
      <c r="K2621" s="139"/>
      <c r="AD2621" s="139">
        <v>4</v>
      </c>
      <c r="AE2621" s="171" t="s">
        <v>1420</v>
      </c>
      <c r="AF2621" s="139" t="s">
        <v>1423</v>
      </c>
      <c r="AG2621" s="139">
        <f t="shared" si="239"/>
        <v>130</v>
      </c>
      <c r="AH2621" s="172" t="s">
        <v>793</v>
      </c>
      <c r="AI2621" s="139">
        <f t="shared" si="240"/>
        <v>520</v>
      </c>
    </row>
    <row r="2622" spans="6:35" ht="24" customHeight="1">
      <c r="F2622" s="139" t="s">
        <v>2276</v>
      </c>
      <c r="G2622" s="171"/>
      <c r="H2622" s="139"/>
      <c r="I2622" s="328">
        <v>2.2800000000000001E-2</v>
      </c>
      <c r="J2622" s="172"/>
      <c r="K2622" s="139"/>
      <c r="AD2622" s="139">
        <v>1</v>
      </c>
      <c r="AE2622" s="171" t="s">
        <v>1420</v>
      </c>
      <c r="AF2622" s="139" t="s">
        <v>1425</v>
      </c>
      <c r="AG2622" s="139">
        <f t="shared" si="239"/>
        <v>985</v>
      </c>
      <c r="AH2622" s="172" t="s">
        <v>793</v>
      </c>
      <c r="AI2622" s="139">
        <f t="shared" si="240"/>
        <v>985</v>
      </c>
    </row>
    <row r="2623" spans="6:35" ht="24" customHeight="1">
      <c r="F2623" s="139" t="s">
        <v>2293</v>
      </c>
      <c r="G2623" s="171"/>
      <c r="H2623" s="139"/>
      <c r="I2623" s="170">
        <v>2.3599999999999999E-2</v>
      </c>
      <c r="J2623" s="172"/>
      <c r="K2623" s="139"/>
      <c r="AD2623" s="139">
        <v>2</v>
      </c>
      <c r="AE2623" s="171" t="s">
        <v>1420</v>
      </c>
      <c r="AF2623" s="139" t="s">
        <v>461</v>
      </c>
      <c r="AG2623" s="139">
        <f t="shared" si="239"/>
        <v>7.5</v>
      </c>
      <c r="AH2623" s="172" t="s">
        <v>793</v>
      </c>
      <c r="AI2623" s="139">
        <f t="shared" si="240"/>
        <v>15</v>
      </c>
    </row>
    <row r="2624" spans="6:35" ht="24" customHeight="1">
      <c r="F2624" s="139"/>
      <c r="G2624" s="171" t="s">
        <v>2294</v>
      </c>
      <c r="H2624" s="139"/>
      <c r="I2624" s="170">
        <v>1.18E-2</v>
      </c>
      <c r="J2624" s="172"/>
      <c r="K2624" s="139"/>
      <c r="AD2624" s="139">
        <v>2</v>
      </c>
      <c r="AE2624" s="171" t="s">
        <v>1420</v>
      </c>
      <c r="AF2624" s="139" t="s">
        <v>463</v>
      </c>
      <c r="AG2624" s="139">
        <f t="shared" si="239"/>
        <v>43.8</v>
      </c>
      <c r="AH2624" s="172" t="s">
        <v>793</v>
      </c>
      <c r="AI2624" s="139">
        <f t="shared" si="240"/>
        <v>87.6</v>
      </c>
    </row>
    <row r="2625" spans="6:35" ht="24" customHeight="1">
      <c r="F2625" s="139"/>
      <c r="G2625" s="171"/>
      <c r="H2625" s="139"/>
      <c r="I2625" s="329">
        <f>SUM(I2623:I2624)</f>
        <v>3.5400000000000001E-2</v>
      </c>
      <c r="J2625" s="172"/>
      <c r="K2625" s="139"/>
      <c r="AD2625" s="139"/>
      <c r="AE2625" s="171"/>
      <c r="AF2625" s="139"/>
      <c r="AG2625" s="139"/>
      <c r="AH2625" s="172"/>
      <c r="AI2625" s="139"/>
    </row>
    <row r="2626" spans="6:35" ht="24" customHeight="1">
      <c r="F2626" s="139"/>
      <c r="G2626" s="171"/>
      <c r="H2626" s="139"/>
      <c r="I2626" s="139"/>
      <c r="J2626" s="172"/>
      <c r="K2626" s="139"/>
      <c r="M2626" s="139"/>
      <c r="N2626" s="171"/>
      <c r="O2626" s="41" t="s">
        <v>2295</v>
      </c>
      <c r="P2626" s="139"/>
      <c r="Q2626" s="172"/>
      <c r="R2626" s="139"/>
      <c r="AD2626" s="139"/>
      <c r="AE2626" s="171"/>
      <c r="AF2626" s="139"/>
      <c r="AG2626" s="139"/>
      <c r="AH2626" s="172"/>
      <c r="AI2626" s="175">
        <v>10.54</v>
      </c>
    </row>
    <row r="2627" spans="6:35" ht="24" customHeight="1">
      <c r="F2627" s="139"/>
      <c r="G2627" s="171"/>
      <c r="H2627" s="139"/>
      <c r="I2627" s="139"/>
      <c r="J2627" s="172"/>
      <c r="K2627" s="139"/>
      <c r="M2627" s="139"/>
      <c r="N2627" s="171"/>
      <c r="O2627" s="139"/>
      <c r="P2627" s="139"/>
      <c r="Q2627" s="172"/>
      <c r="R2627" s="139"/>
      <c r="AD2627" s="139"/>
      <c r="AE2627" s="101"/>
      <c r="AF2627" s="41" t="s">
        <v>403</v>
      </c>
      <c r="AG2627" s="139"/>
      <c r="AH2627" s="172"/>
      <c r="AI2627" s="41">
        <f>SUM(AI2615:AI2626)</f>
        <v>21268.336218749995</v>
      </c>
    </row>
    <row r="2628" spans="6:35" ht="24" customHeight="1">
      <c r="F2628" s="139" t="s">
        <v>2296</v>
      </c>
      <c r="G2628" s="171"/>
      <c r="H2628" s="139"/>
      <c r="I2628" s="170">
        <v>2.5899999999999999E-2</v>
      </c>
      <c r="J2628" s="172"/>
      <c r="K2628" s="139"/>
      <c r="M2628" s="139" t="s">
        <v>2297</v>
      </c>
      <c r="N2628" s="171"/>
      <c r="O2628" s="139"/>
      <c r="P2628" s="139"/>
      <c r="Q2628" s="172"/>
      <c r="R2628" s="139"/>
      <c r="AD2628" s="139"/>
      <c r="AE2628" s="101"/>
      <c r="AF2628" s="41"/>
      <c r="AG2628" s="139"/>
      <c r="AH2628" s="172"/>
      <c r="AI2628" s="175" t="s">
        <v>1430</v>
      </c>
    </row>
    <row r="2629" spans="6:35" ht="24" customHeight="1">
      <c r="F2629" s="139" t="s">
        <v>2298</v>
      </c>
      <c r="G2629" s="171"/>
      <c r="H2629" s="139"/>
      <c r="I2629" s="170">
        <f>2*0.575*0.3*0.01875</f>
        <v>6.4687499999999997E-3</v>
      </c>
      <c r="J2629" s="172"/>
      <c r="K2629" s="139">
        <f>3643035-3769622.98</f>
        <v>-126587.97999999998</v>
      </c>
      <c r="M2629" s="139" t="s">
        <v>2276</v>
      </c>
      <c r="N2629" s="171"/>
      <c r="O2629" s="139"/>
      <c r="P2629" s="328">
        <v>2.2800000000000001E-2</v>
      </c>
      <c r="Q2629" s="172"/>
      <c r="R2629" s="139"/>
      <c r="AD2629" s="139"/>
      <c r="AE2629" s="101"/>
      <c r="AF2629" s="41" t="s">
        <v>2299</v>
      </c>
      <c r="AG2629" s="139"/>
      <c r="AH2629" s="172"/>
      <c r="AI2629" s="41">
        <f>AI2627/3.8475</f>
        <v>5527.8326754385953</v>
      </c>
    </row>
    <row r="2630" spans="6:35" ht="24" customHeight="1">
      <c r="F2630" s="139"/>
      <c r="G2630" s="171"/>
      <c r="H2630" s="139"/>
      <c r="I2630" s="329">
        <f>SUM(I2628:I2629)</f>
        <v>3.2368750000000002E-2</v>
      </c>
      <c r="J2630" s="172"/>
      <c r="K2630" s="139"/>
      <c r="M2630" s="139" t="s">
        <v>2300</v>
      </c>
      <c r="N2630" s="171"/>
      <c r="O2630" s="139"/>
      <c r="P2630" s="170">
        <v>1.8599999999999998E-2</v>
      </c>
      <c r="Q2630" s="172"/>
      <c r="R2630" s="139"/>
    </row>
    <row r="2631" spans="6:35" ht="24" customHeight="1">
      <c r="F2631" s="139"/>
      <c r="G2631" s="171"/>
      <c r="H2631" s="41" t="s">
        <v>2281</v>
      </c>
      <c r="I2631" s="139"/>
      <c r="J2631" s="172"/>
      <c r="K2631" s="139"/>
      <c r="M2631" s="139"/>
      <c r="N2631" s="171" t="s">
        <v>2301</v>
      </c>
      <c r="O2631" s="139"/>
      <c r="P2631" s="170">
        <v>9.2999999999999992E-3</v>
      </c>
      <c r="Q2631" s="172"/>
      <c r="R2631" s="139"/>
    </row>
    <row r="2632" spans="6:35" ht="24" customHeight="1">
      <c r="F2632" s="139"/>
      <c r="G2632" s="171"/>
      <c r="H2632" s="139"/>
      <c r="I2632" s="139"/>
      <c r="J2632" s="172"/>
      <c r="K2632" s="139"/>
      <c r="M2632" s="139"/>
      <c r="N2632" s="171"/>
      <c r="O2632" s="139"/>
      <c r="P2632" s="329">
        <f>SUM(P2630:P2631)</f>
        <v>2.7899999999999998E-2</v>
      </c>
      <c r="Q2632" s="172"/>
      <c r="R2632" s="139"/>
    </row>
    <row r="2633" spans="6:35" ht="24" customHeight="1">
      <c r="F2633" s="170">
        <v>2.2800000000000001E-2</v>
      </c>
      <c r="G2633" s="171" t="s">
        <v>93</v>
      </c>
      <c r="H2633" s="139" t="s">
        <v>1415</v>
      </c>
      <c r="I2633" s="139">
        <f>AE26</f>
        <v>111600</v>
      </c>
      <c r="J2633" s="172" t="s">
        <v>93</v>
      </c>
      <c r="K2633" s="139">
        <f>F2633*I2633</f>
        <v>2544.48</v>
      </c>
      <c r="M2633" s="139"/>
      <c r="N2633" s="171"/>
      <c r="O2633" s="139"/>
      <c r="P2633" s="139"/>
      <c r="Q2633" s="172"/>
      <c r="R2633" s="139"/>
    </row>
    <row r="2634" spans="6:35" ht="24" customHeight="1">
      <c r="F2634" s="170">
        <v>3.5400000000000001E-2</v>
      </c>
      <c r="G2634" s="171" t="s">
        <v>93</v>
      </c>
      <c r="H2634" s="139" t="s">
        <v>1416</v>
      </c>
      <c r="I2634" s="139">
        <f>AE27</f>
        <v>99400</v>
      </c>
      <c r="J2634" s="172" t="s">
        <v>93</v>
      </c>
      <c r="K2634" s="139">
        <f t="shared" ref="K2634:K2643" si="241">F2634*I2634</f>
        <v>3518.76</v>
      </c>
      <c r="M2634" s="139"/>
      <c r="N2634" s="171"/>
      <c r="O2634" s="139"/>
      <c r="P2634" s="139"/>
      <c r="Q2634" s="172"/>
      <c r="R2634" s="139"/>
    </row>
    <row r="2635" spans="6:35" ht="24" customHeight="1">
      <c r="F2635" s="173">
        <v>3.2300000000000002E-2</v>
      </c>
      <c r="G2635" s="171" t="s">
        <v>93</v>
      </c>
      <c r="H2635" s="28" t="s">
        <v>2302</v>
      </c>
      <c r="I2635" s="139">
        <v>101921.4</v>
      </c>
      <c r="J2635" s="172" t="s">
        <v>93</v>
      </c>
      <c r="K2635" s="139">
        <f t="shared" si="241"/>
        <v>3292.06122</v>
      </c>
      <c r="M2635" s="139" t="s">
        <v>2303</v>
      </c>
      <c r="N2635" s="171"/>
      <c r="O2635" s="139"/>
      <c r="P2635" s="170">
        <v>1.9E-2</v>
      </c>
      <c r="Q2635" s="172"/>
      <c r="R2635" s="139"/>
      <c r="AD2635" s="174"/>
      <c r="AE2635" s="171"/>
      <c r="AF2635" s="41" t="s">
        <v>2274</v>
      </c>
      <c r="AG2635" s="139"/>
      <c r="AH2635" s="172"/>
      <c r="AI2635" s="139"/>
    </row>
    <row r="2636" spans="6:35" ht="24" customHeight="1">
      <c r="F2636" s="174">
        <v>2.835</v>
      </c>
      <c r="G2636" s="171" t="s">
        <v>438</v>
      </c>
      <c r="H2636" s="139" t="s">
        <v>1418</v>
      </c>
      <c r="I2636" s="139">
        <f>AG30</f>
        <v>1617</v>
      </c>
      <c r="J2636" s="172" t="s">
        <v>438</v>
      </c>
      <c r="K2636" s="139">
        <f t="shared" si="241"/>
        <v>4584.1949999999997</v>
      </c>
      <c r="M2636" s="139" t="s">
        <v>2304</v>
      </c>
      <c r="N2636" s="171"/>
      <c r="O2636" s="139"/>
      <c r="P2636" s="170">
        <v>4.7999999999999996E-3</v>
      </c>
      <c r="Q2636" s="172"/>
      <c r="R2636" s="139"/>
      <c r="AD2636" s="174"/>
      <c r="AE2636" s="171"/>
      <c r="AF2636" s="41" t="s">
        <v>2305</v>
      </c>
      <c r="AG2636" s="139"/>
      <c r="AH2636" s="172"/>
      <c r="AI2636" s="139"/>
    </row>
    <row r="2637" spans="6:35" ht="24" customHeight="1">
      <c r="F2637" s="139">
        <v>2</v>
      </c>
      <c r="G2637" s="171" t="s">
        <v>1420</v>
      </c>
      <c r="H2637" s="28" t="s">
        <v>2306</v>
      </c>
      <c r="I2637" s="330">
        <v>450</v>
      </c>
      <c r="J2637" s="172" t="s">
        <v>793</v>
      </c>
      <c r="K2637" s="139">
        <f t="shared" si="241"/>
        <v>900</v>
      </c>
      <c r="M2637" s="139"/>
      <c r="N2637" s="171"/>
      <c r="O2637" s="139"/>
      <c r="P2637" s="329">
        <f>SUM(P2635:P2636)</f>
        <v>2.3799999999999998E-2</v>
      </c>
      <c r="Q2637" s="172"/>
      <c r="R2637" s="139"/>
      <c r="AD2637" s="174" t="s">
        <v>2275</v>
      </c>
      <c r="AE2637" s="171"/>
      <c r="AF2637" s="139"/>
      <c r="AG2637" s="328">
        <f>2*0.85*2.025</f>
        <v>3.4424999999999999</v>
      </c>
      <c r="AH2637" s="172"/>
      <c r="AI2637" s="139"/>
    </row>
    <row r="2638" spans="6:35" ht="24" customHeight="1">
      <c r="F2638" s="139">
        <v>6</v>
      </c>
      <c r="G2638" s="171" t="s">
        <v>1420</v>
      </c>
      <c r="H2638" s="28" t="s">
        <v>2307</v>
      </c>
      <c r="I2638" s="330">
        <v>79</v>
      </c>
      <c r="J2638" s="172" t="s">
        <v>793</v>
      </c>
      <c r="K2638" s="139">
        <f t="shared" si="241"/>
        <v>474</v>
      </c>
      <c r="M2638" s="139"/>
      <c r="N2638" s="171"/>
      <c r="O2638" s="41" t="s">
        <v>2281</v>
      </c>
      <c r="P2638" s="139"/>
      <c r="Q2638" s="172"/>
      <c r="R2638" s="139"/>
      <c r="AD2638" s="174" t="s">
        <v>2276</v>
      </c>
      <c r="AE2638" s="171"/>
      <c r="AF2638" s="139"/>
      <c r="AG2638" s="328">
        <v>2.2800000000000001E-2</v>
      </c>
      <c r="AH2638" s="172"/>
      <c r="AI2638" s="139"/>
    </row>
    <row r="2639" spans="6:35" ht="24" customHeight="1">
      <c r="F2639" s="139">
        <v>4</v>
      </c>
      <c r="G2639" s="171" t="s">
        <v>1420</v>
      </c>
      <c r="H2639" s="28" t="s">
        <v>2308</v>
      </c>
      <c r="I2639" s="330">
        <v>130</v>
      </c>
      <c r="J2639" s="172" t="s">
        <v>793</v>
      </c>
      <c r="K2639" s="139">
        <f t="shared" si="241"/>
        <v>520</v>
      </c>
      <c r="M2639" s="139"/>
      <c r="N2639" s="171"/>
      <c r="O2639" s="139"/>
      <c r="P2639" s="139"/>
      <c r="Q2639" s="172"/>
      <c r="R2639" s="139"/>
      <c r="AD2639" s="174" t="s">
        <v>2277</v>
      </c>
      <c r="AE2639" s="171"/>
      <c r="AF2639" s="139"/>
      <c r="AG2639" s="170">
        <f>2*3*0.85*0.15*0.0375</f>
        <v>2.8687499999999994E-2</v>
      </c>
      <c r="AH2639" s="172"/>
      <c r="AI2639" s="139"/>
    </row>
    <row r="2640" spans="6:35" ht="24" customHeight="1">
      <c r="F2640" s="139">
        <v>1</v>
      </c>
      <c r="G2640" s="171" t="s">
        <v>1420</v>
      </c>
      <c r="H2640" s="28" t="s">
        <v>2309</v>
      </c>
      <c r="I2640" s="330">
        <v>985</v>
      </c>
      <c r="J2640" s="172" t="s">
        <v>793</v>
      </c>
      <c r="K2640" s="139">
        <f t="shared" si="241"/>
        <v>985</v>
      </c>
      <c r="M2640" s="170">
        <f>P2629</f>
        <v>2.2800000000000001E-2</v>
      </c>
      <c r="N2640" s="171" t="s">
        <v>93</v>
      </c>
      <c r="O2640" s="139" t="s">
        <v>2282</v>
      </c>
      <c r="P2640" s="139">
        <f>I2633</f>
        <v>111600</v>
      </c>
      <c r="Q2640" s="172" t="s">
        <v>93</v>
      </c>
      <c r="R2640" s="139">
        <f>M2640*P2640</f>
        <v>2544.48</v>
      </c>
      <c r="AD2640" s="174"/>
      <c r="AE2640" s="171" t="s">
        <v>2278</v>
      </c>
      <c r="AF2640" s="139"/>
      <c r="AG2640" s="170">
        <f>2*3*0.85*0.075*0.0375</f>
        <v>1.4343749999999997E-2</v>
      </c>
      <c r="AH2640" s="172"/>
      <c r="AI2640" s="139"/>
    </row>
    <row r="2641" spans="6:36" ht="24" customHeight="1">
      <c r="F2641" s="139">
        <v>2</v>
      </c>
      <c r="G2641" s="171" t="s">
        <v>1420</v>
      </c>
      <c r="H2641" s="28" t="s">
        <v>2310</v>
      </c>
      <c r="I2641" s="330">
        <v>21.48</v>
      </c>
      <c r="J2641" s="172" t="s">
        <v>793</v>
      </c>
      <c r="K2641" s="139">
        <f t="shared" si="241"/>
        <v>42.96</v>
      </c>
      <c r="M2641" s="170">
        <f>P2632</f>
        <v>2.7899999999999998E-2</v>
      </c>
      <c r="N2641" s="171" t="s">
        <v>93</v>
      </c>
      <c r="O2641" s="139" t="s">
        <v>1416</v>
      </c>
      <c r="P2641" s="139">
        <f t="shared" ref="P2641:P2649" si="242">I2634</f>
        <v>99400</v>
      </c>
      <c r="Q2641" s="172" t="s">
        <v>93</v>
      </c>
      <c r="R2641" s="139">
        <f t="shared" ref="R2641:R2649" si="243">M2641*P2641</f>
        <v>2773.2599999999998</v>
      </c>
      <c r="AC2641" s="174"/>
      <c r="AD2641" s="174"/>
      <c r="AE2641" s="171"/>
      <c r="AF2641" s="139"/>
      <c r="AG2641" s="329">
        <f>SUM(AG2639:AG2640)</f>
        <v>4.3031249999999993E-2</v>
      </c>
      <c r="AH2641" s="172"/>
      <c r="AI2641" s="139"/>
    </row>
    <row r="2642" spans="6:36" ht="24" customHeight="1">
      <c r="F2642" s="139">
        <v>2</v>
      </c>
      <c r="G2642" s="171" t="s">
        <v>1420</v>
      </c>
      <c r="H2642" s="139" t="s">
        <v>463</v>
      </c>
      <c r="I2642" s="139">
        <f>I2823</f>
        <v>43.8</v>
      </c>
      <c r="J2642" s="172" t="s">
        <v>793</v>
      </c>
      <c r="K2642" s="139">
        <f t="shared" si="241"/>
        <v>87.6</v>
      </c>
      <c r="M2642" s="173">
        <f>P2637</f>
        <v>2.3799999999999998E-2</v>
      </c>
      <c r="N2642" s="171" t="s">
        <v>93</v>
      </c>
      <c r="O2642" s="28" t="s">
        <v>2311</v>
      </c>
      <c r="P2642" s="139">
        <f t="shared" si="242"/>
        <v>101921.4</v>
      </c>
      <c r="Q2642" s="172" t="s">
        <v>93</v>
      </c>
      <c r="R2642" s="139">
        <f t="shared" si="243"/>
        <v>2425.7293199999995</v>
      </c>
      <c r="AC2642" s="174"/>
      <c r="AD2642" s="174"/>
      <c r="AE2642" s="171"/>
      <c r="AF2642" s="139"/>
      <c r="AG2642" s="139"/>
      <c r="AH2642" s="172"/>
      <c r="AI2642" s="139"/>
    </row>
    <row r="2643" spans="6:36" ht="24" customHeight="1">
      <c r="F2643" s="139">
        <v>118</v>
      </c>
      <c r="G2643" s="171"/>
      <c r="H2643" s="139" t="s">
        <v>1352</v>
      </c>
      <c r="I2643" s="105">
        <f>P2831</f>
        <v>2.37</v>
      </c>
      <c r="J2643" s="172"/>
      <c r="K2643" s="139">
        <f t="shared" si="241"/>
        <v>279.66000000000003</v>
      </c>
      <c r="M2643" s="174">
        <v>2.23</v>
      </c>
      <c r="N2643" s="171" t="s">
        <v>438</v>
      </c>
      <c r="O2643" s="139" t="s">
        <v>1418</v>
      </c>
      <c r="P2643" s="139">
        <f t="shared" si="242"/>
        <v>1617</v>
      </c>
      <c r="Q2643" s="172" t="s">
        <v>438</v>
      </c>
      <c r="R2643" s="139">
        <f t="shared" si="243"/>
        <v>3605.91</v>
      </c>
      <c r="AC2643" s="174"/>
      <c r="AD2643" s="174"/>
      <c r="AE2643" s="171"/>
      <c r="AF2643" s="139"/>
      <c r="AG2643" s="139"/>
      <c r="AH2643" s="172"/>
      <c r="AI2643" s="139"/>
    </row>
    <row r="2644" spans="6:36" ht="24" customHeight="1">
      <c r="F2644" s="139"/>
      <c r="G2644" s="171"/>
      <c r="H2644" s="139"/>
      <c r="I2644" s="139"/>
      <c r="J2644" s="172"/>
      <c r="K2644" s="175"/>
      <c r="M2644" s="139">
        <v>2</v>
      </c>
      <c r="N2644" s="171" t="s">
        <v>1420</v>
      </c>
      <c r="O2644" s="41" t="s">
        <v>2306</v>
      </c>
      <c r="P2644" s="139">
        <f t="shared" si="242"/>
        <v>450</v>
      </c>
      <c r="Q2644" s="172" t="s">
        <v>793</v>
      </c>
      <c r="R2644" s="139">
        <f t="shared" si="243"/>
        <v>900</v>
      </c>
      <c r="AC2644" s="174"/>
      <c r="AD2644" s="174" t="s">
        <v>2279</v>
      </c>
      <c r="AE2644" s="171"/>
      <c r="AF2644" s="139"/>
      <c r="AG2644" s="170">
        <f>2*4*0.725*0.3*0.01875</f>
        <v>3.2625000000000001E-2</v>
      </c>
      <c r="AH2644" s="172"/>
      <c r="AI2644" s="139"/>
    </row>
    <row r="2645" spans="6:36" ht="24" customHeight="1">
      <c r="F2645" s="139"/>
      <c r="G2645" s="101"/>
      <c r="H2645" s="41" t="s">
        <v>403</v>
      </c>
      <c r="I2645" s="139"/>
      <c r="J2645" s="172"/>
      <c r="K2645" s="41">
        <f>SUM(K2633:K2644)</f>
        <v>17228.716219999998</v>
      </c>
      <c r="L2645" s="331"/>
      <c r="M2645" s="139">
        <v>6</v>
      </c>
      <c r="N2645" s="171" t="s">
        <v>1420</v>
      </c>
      <c r="O2645" s="41" t="s">
        <v>2307</v>
      </c>
      <c r="P2645" s="139">
        <f t="shared" si="242"/>
        <v>79</v>
      </c>
      <c r="Q2645" s="172" t="s">
        <v>793</v>
      </c>
      <c r="R2645" s="139">
        <f t="shared" si="243"/>
        <v>474</v>
      </c>
      <c r="AC2645" s="174"/>
      <c r="AD2645" s="174" t="s">
        <v>2280</v>
      </c>
      <c r="AE2645" s="171"/>
      <c r="AF2645" s="139"/>
      <c r="AG2645" s="170">
        <f>2*0.725*0.3*0.01875</f>
        <v>8.1562500000000003E-3</v>
      </c>
      <c r="AH2645" s="172"/>
      <c r="AI2645" s="139"/>
    </row>
    <row r="2646" spans="6:36" ht="24" customHeight="1">
      <c r="F2646" s="139"/>
      <c r="G2646" s="101"/>
      <c r="H2646" s="41"/>
      <c r="I2646" s="139"/>
      <c r="J2646" s="172"/>
      <c r="K2646" s="175" t="s">
        <v>1430</v>
      </c>
      <c r="M2646" s="139">
        <v>4</v>
      </c>
      <c r="N2646" s="171" t="s">
        <v>1420</v>
      </c>
      <c r="O2646" s="41" t="s">
        <v>2308</v>
      </c>
      <c r="P2646" s="139">
        <f t="shared" si="242"/>
        <v>130</v>
      </c>
      <c r="Q2646" s="172" t="s">
        <v>793</v>
      </c>
      <c r="R2646" s="139">
        <f t="shared" si="243"/>
        <v>520</v>
      </c>
      <c r="AC2646" s="174"/>
      <c r="AD2646" s="174"/>
      <c r="AE2646" s="171"/>
      <c r="AF2646" s="139"/>
      <c r="AG2646" s="329">
        <f>SUM(AG2644:AG2645)</f>
        <v>4.0781250000000005E-2</v>
      </c>
      <c r="AH2646" s="172"/>
      <c r="AI2646" s="139"/>
    </row>
    <row r="2647" spans="6:36" ht="24" customHeight="1">
      <c r="F2647" s="139"/>
      <c r="G2647" s="101"/>
      <c r="H2647" s="41" t="s">
        <v>1433</v>
      </c>
      <c r="I2647" s="139"/>
      <c r="J2647" s="172"/>
      <c r="K2647" s="41">
        <f>K2645/2.835</f>
        <v>6077.1485784832448</v>
      </c>
      <c r="M2647" s="139">
        <v>1</v>
      </c>
      <c r="N2647" s="171" t="s">
        <v>1420</v>
      </c>
      <c r="O2647" s="41" t="s">
        <v>2309</v>
      </c>
      <c r="P2647" s="139">
        <f t="shared" si="242"/>
        <v>985</v>
      </c>
      <c r="Q2647" s="172" t="s">
        <v>793</v>
      </c>
      <c r="R2647" s="139">
        <f t="shared" si="243"/>
        <v>985</v>
      </c>
      <c r="AC2647" s="174"/>
      <c r="AD2647" s="174"/>
      <c r="AE2647" s="171"/>
      <c r="AF2647" s="41" t="s">
        <v>2281</v>
      </c>
      <c r="AG2647" s="139"/>
      <c r="AH2647" s="172"/>
      <c r="AI2647" s="139"/>
      <c r="AJ2647" s="127"/>
    </row>
    <row r="2648" spans="6:36" ht="24" customHeight="1">
      <c r="F2648" s="139"/>
      <c r="G2648" s="101"/>
      <c r="K2648" s="80" t="s">
        <v>1430</v>
      </c>
      <c r="M2648" s="139">
        <v>2</v>
      </c>
      <c r="N2648" s="171" t="s">
        <v>1420</v>
      </c>
      <c r="O2648" s="28" t="s">
        <v>461</v>
      </c>
      <c r="P2648" s="139">
        <f>C288</f>
        <v>7.3</v>
      </c>
      <c r="Q2648" s="172" t="s">
        <v>793</v>
      </c>
      <c r="R2648" s="139">
        <f t="shared" si="243"/>
        <v>14.6</v>
      </c>
      <c r="AC2648" s="174"/>
      <c r="AD2648" s="174"/>
      <c r="AE2648" s="171"/>
      <c r="AF2648" s="139"/>
      <c r="AG2648" s="139"/>
      <c r="AH2648" s="172"/>
      <c r="AI2648" s="139"/>
      <c r="AJ2648" s="127"/>
    </row>
    <row r="2649" spans="6:36" ht="24" customHeight="1">
      <c r="F2649" s="332" t="s">
        <v>2312</v>
      </c>
      <c r="G2649" s="333"/>
      <c r="H2649" s="59" t="s">
        <v>1419</v>
      </c>
      <c r="I2649" s="334"/>
      <c r="J2649" s="335"/>
      <c r="K2649" s="334"/>
      <c r="M2649" s="139">
        <v>2</v>
      </c>
      <c r="N2649" s="171" t="s">
        <v>1420</v>
      </c>
      <c r="O2649" s="139" t="s">
        <v>463</v>
      </c>
      <c r="P2649" s="139">
        <f t="shared" si="242"/>
        <v>43.8</v>
      </c>
      <c r="Q2649" s="172" t="s">
        <v>793</v>
      </c>
      <c r="R2649" s="139">
        <f t="shared" si="243"/>
        <v>87.6</v>
      </c>
      <c r="AC2649" s="174"/>
      <c r="AD2649" s="170">
        <f>AG2638</f>
        <v>2.2800000000000001E-2</v>
      </c>
      <c r="AE2649" s="171" t="s">
        <v>93</v>
      </c>
      <c r="AF2649" s="139" t="s">
        <v>2282</v>
      </c>
      <c r="AG2649" s="139">
        <f>V2601</f>
        <v>111600</v>
      </c>
      <c r="AH2649" s="172" t="s">
        <v>93</v>
      </c>
      <c r="AI2649" s="139">
        <f>AD2649*AG2649</f>
        <v>2544.48</v>
      </c>
      <c r="AJ2649" s="127"/>
    </row>
    <row r="2650" spans="6:36" ht="24" customHeight="1">
      <c r="F2650" s="334"/>
      <c r="G2650" s="333"/>
      <c r="H2650" s="336" t="s">
        <v>48</v>
      </c>
      <c r="I2650" s="336" t="s">
        <v>48</v>
      </c>
      <c r="J2650" s="59" t="s">
        <v>48</v>
      </c>
      <c r="K2650" s="334"/>
      <c r="M2650" s="139"/>
      <c r="N2650" s="171"/>
      <c r="O2650" s="139"/>
      <c r="P2650" s="139"/>
      <c r="Q2650" s="172"/>
      <c r="R2650" s="139">
        <v>21</v>
      </c>
      <c r="AC2650" s="174"/>
      <c r="AD2650" s="170">
        <f>AG2641</f>
        <v>4.3031249999999993E-2</v>
      </c>
      <c r="AE2650" s="171" t="s">
        <v>93</v>
      </c>
      <c r="AF2650" s="139" t="s">
        <v>1416</v>
      </c>
      <c r="AG2650" s="139">
        <f t="shared" ref="AG2650:AG2660" si="244">V2602</f>
        <v>99400</v>
      </c>
      <c r="AH2650" s="172" t="s">
        <v>93</v>
      </c>
      <c r="AI2650" s="139">
        <f t="shared" ref="AI2650:AI2660" si="245">AD2650*AG2650</f>
        <v>4277.3062499999996</v>
      </c>
      <c r="AJ2650" s="127"/>
    </row>
    <row r="2651" spans="6:36" ht="37.5" customHeight="1">
      <c r="F2651" s="334"/>
      <c r="G2651" s="333"/>
      <c r="H2651" s="334"/>
      <c r="I2651" s="334"/>
      <c r="J2651" s="335"/>
      <c r="K2651" s="334"/>
      <c r="M2651" s="139"/>
      <c r="N2651" s="171"/>
      <c r="O2651" s="139"/>
      <c r="P2651" s="139"/>
      <c r="Q2651" s="172"/>
      <c r="R2651" s="175" t="s">
        <v>1430</v>
      </c>
      <c r="AC2651" s="174"/>
      <c r="AD2651" s="170">
        <f>AG2646</f>
        <v>4.0781250000000005E-2</v>
      </c>
      <c r="AE2651" s="171" t="s">
        <v>93</v>
      </c>
      <c r="AF2651" s="276" t="s">
        <v>2311</v>
      </c>
      <c r="AG2651" s="139">
        <f t="shared" si="244"/>
        <v>101921.4</v>
      </c>
      <c r="AH2651" s="172" t="s">
        <v>93</v>
      </c>
      <c r="AI2651" s="139">
        <f t="shared" si="245"/>
        <v>4156.4820937499999</v>
      </c>
      <c r="AJ2651" s="127"/>
    </row>
    <row r="2652" spans="6:36" ht="34.5" customHeight="1">
      <c r="F2652" s="334"/>
      <c r="G2652" s="333"/>
      <c r="H2652" s="59" t="s">
        <v>1424</v>
      </c>
      <c r="I2652" s="334"/>
      <c r="J2652" s="335"/>
      <c r="K2652" s="334"/>
      <c r="M2652" s="139"/>
      <c r="N2652" s="101"/>
      <c r="O2652" s="41" t="s">
        <v>403</v>
      </c>
      <c r="P2652" s="139"/>
      <c r="Q2652" s="172"/>
      <c r="R2652" s="41">
        <f>SUM(R2640:R2650)</f>
        <v>14351.579320000001</v>
      </c>
      <c r="AC2652" s="174"/>
      <c r="AD2652" s="170">
        <f>AG2637</f>
        <v>3.4424999999999999</v>
      </c>
      <c r="AE2652" s="171" t="s">
        <v>438</v>
      </c>
      <c r="AF2652" s="337" t="s">
        <v>1418</v>
      </c>
      <c r="AG2652" s="139">
        <f t="shared" si="244"/>
        <v>1617</v>
      </c>
      <c r="AH2652" s="172" t="s">
        <v>438</v>
      </c>
      <c r="AI2652" s="139">
        <f t="shared" si="245"/>
        <v>5566.5225</v>
      </c>
      <c r="AJ2652" s="127"/>
    </row>
    <row r="2653" spans="6:36" ht="24" customHeight="1">
      <c r="F2653" s="334"/>
      <c r="G2653" s="333"/>
      <c r="H2653" s="59"/>
      <c r="I2653" s="334"/>
      <c r="J2653" s="335"/>
      <c r="K2653" s="334"/>
      <c r="M2653" s="139"/>
      <c r="N2653" s="101"/>
      <c r="O2653" s="41"/>
      <c r="P2653" s="139"/>
      <c r="Q2653" s="172"/>
      <c r="R2653" s="175" t="s">
        <v>1430</v>
      </c>
      <c r="AC2653" s="174"/>
      <c r="AD2653" s="174">
        <v>2</v>
      </c>
      <c r="AE2653" s="171" t="s">
        <v>1420</v>
      </c>
      <c r="AF2653" s="28" t="s">
        <v>2306</v>
      </c>
      <c r="AG2653" s="338">
        <v>450</v>
      </c>
      <c r="AH2653" s="172" t="s">
        <v>793</v>
      </c>
      <c r="AI2653" s="139">
        <f t="shared" si="245"/>
        <v>900</v>
      </c>
      <c r="AJ2653" s="127"/>
    </row>
    <row r="2654" spans="6:36" ht="24" customHeight="1">
      <c r="F2654" s="334"/>
      <c r="G2654" s="333"/>
      <c r="H2654" s="59" t="s">
        <v>1426</v>
      </c>
      <c r="I2654" s="334"/>
      <c r="J2654" s="335"/>
      <c r="K2654" s="334"/>
      <c r="M2654" s="139"/>
      <c r="N2654" s="101"/>
      <c r="O2654" s="41" t="s">
        <v>2313</v>
      </c>
      <c r="P2654" s="139"/>
      <c r="Q2654" s="172"/>
      <c r="R2654" s="41">
        <f>R2652/M2643</f>
        <v>6435.6857937219738</v>
      </c>
      <c r="AC2654" s="174"/>
      <c r="AD2654" s="174">
        <v>6</v>
      </c>
      <c r="AE2654" s="171" t="s">
        <v>1420</v>
      </c>
      <c r="AF2654" s="28" t="s">
        <v>2307</v>
      </c>
      <c r="AG2654" s="338">
        <v>79</v>
      </c>
      <c r="AH2654" s="172" t="s">
        <v>793</v>
      </c>
      <c r="AI2654" s="139">
        <f t="shared" si="245"/>
        <v>474</v>
      </c>
      <c r="AJ2654" s="127"/>
    </row>
    <row r="2655" spans="6:36" ht="24" customHeight="1">
      <c r="F2655" s="334"/>
      <c r="G2655" s="333"/>
      <c r="H2655" s="59" t="s">
        <v>1427</v>
      </c>
      <c r="I2655" s="334"/>
      <c r="J2655" s="335"/>
      <c r="K2655" s="334"/>
      <c r="M2655" s="139"/>
      <c r="N2655" s="101"/>
      <c r="Q2655" s="31"/>
      <c r="R2655" s="80" t="s">
        <v>1430</v>
      </c>
      <c r="AC2655" s="170"/>
      <c r="AD2655" s="174">
        <v>4</v>
      </c>
      <c r="AE2655" s="171" t="s">
        <v>1420</v>
      </c>
      <c r="AF2655" s="28" t="s">
        <v>2308</v>
      </c>
      <c r="AG2655" s="338">
        <v>130</v>
      </c>
      <c r="AH2655" s="172" t="s">
        <v>793</v>
      </c>
      <c r="AI2655" s="139">
        <f t="shared" si="245"/>
        <v>520</v>
      </c>
      <c r="AJ2655" s="127"/>
    </row>
    <row r="2656" spans="6:36" ht="24" customHeight="1">
      <c r="F2656" s="334"/>
      <c r="G2656" s="333"/>
      <c r="H2656" s="59" t="s">
        <v>1428</v>
      </c>
      <c r="I2656" s="334"/>
      <c r="J2656" s="335"/>
      <c r="K2656" s="334"/>
      <c r="M2656" s="28" t="s">
        <v>2312</v>
      </c>
      <c r="O2656" s="28" t="s">
        <v>1419</v>
      </c>
      <c r="AC2656" s="170"/>
      <c r="AD2656" s="174">
        <v>1</v>
      </c>
      <c r="AE2656" s="171" t="s">
        <v>1420</v>
      </c>
      <c r="AF2656" s="28" t="s">
        <v>2309</v>
      </c>
      <c r="AG2656" s="338">
        <v>985</v>
      </c>
      <c r="AH2656" s="172" t="s">
        <v>793</v>
      </c>
      <c r="AI2656" s="139">
        <f t="shared" si="245"/>
        <v>985</v>
      </c>
      <c r="AJ2656" s="127"/>
    </row>
    <row r="2657" spans="6:36" ht="24" customHeight="1">
      <c r="F2657" s="334"/>
      <c r="G2657" s="333"/>
      <c r="H2657" s="59" t="s">
        <v>1429</v>
      </c>
      <c r="I2657" s="334"/>
      <c r="J2657" s="335"/>
      <c r="K2657" s="334"/>
      <c r="O2657" s="28" t="s">
        <v>48</v>
      </c>
      <c r="P2657" s="28" t="s">
        <v>48</v>
      </c>
      <c r="Q2657" s="28" t="s">
        <v>48</v>
      </c>
      <c r="AC2657" s="170"/>
      <c r="AD2657" s="174">
        <v>2</v>
      </c>
      <c r="AE2657" s="171" t="s">
        <v>1420</v>
      </c>
      <c r="AF2657" s="28" t="s">
        <v>2310</v>
      </c>
      <c r="AG2657" s="105">
        <v>24.6</v>
      </c>
      <c r="AH2657" s="172" t="s">
        <v>793</v>
      </c>
      <c r="AI2657" s="139">
        <f t="shared" si="245"/>
        <v>49.2</v>
      </c>
      <c r="AJ2657" s="127"/>
    </row>
    <row r="2658" spans="6:36" ht="24" customHeight="1">
      <c r="F2658" s="334"/>
      <c r="G2658" s="333"/>
      <c r="H2658" s="59" t="s">
        <v>2314</v>
      </c>
      <c r="I2658" s="334"/>
      <c r="J2658" s="59" t="s">
        <v>27</v>
      </c>
      <c r="K2658" s="339">
        <v>3.7699999999999997E-2</v>
      </c>
      <c r="AC2658" s="170"/>
      <c r="AD2658" s="174">
        <v>2</v>
      </c>
      <c r="AE2658" s="171" t="s">
        <v>1420</v>
      </c>
      <c r="AF2658" s="139" t="s">
        <v>463</v>
      </c>
      <c r="AG2658" s="139">
        <f t="shared" si="244"/>
        <v>43.8</v>
      </c>
      <c r="AH2658" s="172" t="s">
        <v>793</v>
      </c>
      <c r="AI2658" s="139">
        <f t="shared" si="245"/>
        <v>87.6</v>
      </c>
    </row>
    <row r="2659" spans="6:36" ht="24" customHeight="1">
      <c r="F2659" s="334"/>
      <c r="G2659" s="333"/>
      <c r="H2659" s="59" t="s">
        <v>2315</v>
      </c>
      <c r="I2659" s="334"/>
      <c r="J2659" s="340" t="s">
        <v>27</v>
      </c>
      <c r="K2659" s="340" t="s">
        <v>27</v>
      </c>
      <c r="O2659" s="28" t="s">
        <v>1424</v>
      </c>
      <c r="AC2659" s="174"/>
      <c r="AD2659" s="174"/>
      <c r="AE2659" s="171"/>
      <c r="AF2659" s="139"/>
      <c r="AG2659" s="139">
        <f t="shared" si="244"/>
        <v>0</v>
      </c>
      <c r="AH2659" s="172"/>
      <c r="AI2659" s="139">
        <f t="shared" si="245"/>
        <v>0</v>
      </c>
    </row>
    <row r="2660" spans="6:36" ht="24" customHeight="1">
      <c r="F2660" s="334"/>
      <c r="G2660" s="333"/>
      <c r="H2660" s="59" t="s">
        <v>1434</v>
      </c>
      <c r="I2660" s="334"/>
      <c r="J2660" s="335"/>
      <c r="K2660" s="340" t="s">
        <v>27</v>
      </c>
      <c r="AC2660" s="174"/>
      <c r="AD2660" s="174">
        <v>118</v>
      </c>
      <c r="AE2660" s="171"/>
      <c r="AF2660" s="139" t="s">
        <v>1352</v>
      </c>
      <c r="AG2660" s="139">
        <f t="shared" si="244"/>
        <v>2.37</v>
      </c>
      <c r="AH2660" s="172"/>
      <c r="AI2660" s="139">
        <f t="shared" si="245"/>
        <v>279.66000000000003</v>
      </c>
    </row>
    <row r="2661" spans="6:36" ht="24" customHeight="1">
      <c r="F2661" s="334"/>
      <c r="G2661" s="333"/>
      <c r="H2661" s="334"/>
      <c r="I2661" s="334"/>
      <c r="J2661" s="335"/>
      <c r="K2661" s="334"/>
      <c r="O2661" s="28" t="s">
        <v>1426</v>
      </c>
      <c r="AC2661" s="174"/>
      <c r="AD2661" s="174"/>
      <c r="AE2661" s="101"/>
      <c r="AF2661" s="41" t="s">
        <v>403</v>
      </c>
      <c r="AG2661" s="139"/>
      <c r="AH2661" s="172"/>
      <c r="AI2661" s="41">
        <f>SUM(AI2649:AI2660)</f>
        <v>19840.250843749996</v>
      </c>
    </row>
    <row r="2662" spans="6:36" ht="24" customHeight="1">
      <c r="F2662" s="341">
        <v>1.18E-2</v>
      </c>
      <c r="G2662" s="342" t="s">
        <v>93</v>
      </c>
      <c r="H2662" s="59" t="s">
        <v>454</v>
      </c>
      <c r="I2662" s="343">
        <f>AE26</f>
        <v>111600</v>
      </c>
      <c r="J2662" s="59" t="s">
        <v>93</v>
      </c>
      <c r="K2662" s="343">
        <f t="shared" ref="K2662:K2671" si="246">(F2662*I2662)</f>
        <v>1316.8799999999999</v>
      </c>
      <c r="O2662" s="28" t="s">
        <v>1427</v>
      </c>
      <c r="AC2662" s="174"/>
      <c r="AD2662" s="174"/>
      <c r="AE2662" s="101"/>
      <c r="AF2662" s="41"/>
      <c r="AG2662" s="139"/>
      <c r="AH2662" s="172"/>
      <c r="AI2662" s="175" t="s">
        <v>1430</v>
      </c>
    </row>
    <row r="2663" spans="6:36" ht="24" customHeight="1">
      <c r="F2663" s="341">
        <v>3.7699999999999997E-2</v>
      </c>
      <c r="G2663" s="342" t="s">
        <v>93</v>
      </c>
      <c r="H2663" s="59" t="s">
        <v>455</v>
      </c>
      <c r="I2663" s="343">
        <f>AE27</f>
        <v>99400</v>
      </c>
      <c r="J2663" s="59" t="s">
        <v>93</v>
      </c>
      <c r="K2663" s="343">
        <f t="shared" si="246"/>
        <v>3747.3799999999997</v>
      </c>
      <c r="O2663" s="28" t="s">
        <v>1428</v>
      </c>
      <c r="AC2663" s="174"/>
      <c r="AD2663" s="174"/>
      <c r="AE2663" s="101"/>
      <c r="AF2663" s="41" t="s">
        <v>2290</v>
      </c>
      <c r="AG2663" s="139"/>
      <c r="AH2663" s="172"/>
      <c r="AI2663" s="41">
        <f>AI2661/3.4425</f>
        <v>5763.3263162672465</v>
      </c>
    </row>
    <row r="2664" spans="6:36" ht="24" customHeight="1">
      <c r="F2664" s="341">
        <v>1.8550000000000001E-2</v>
      </c>
      <c r="G2664" s="342" t="s">
        <v>93</v>
      </c>
      <c r="H2664" s="59" t="s">
        <v>1435</v>
      </c>
      <c r="I2664" s="343">
        <f>AG33</f>
        <v>14384.999999999998</v>
      </c>
      <c r="J2664" s="59" t="s">
        <v>93</v>
      </c>
      <c r="K2664" s="343">
        <f t="shared" si="246"/>
        <v>266.84174999999999</v>
      </c>
      <c r="O2664" s="28" t="s">
        <v>1429</v>
      </c>
      <c r="AC2664" s="174"/>
      <c r="AD2664" s="171"/>
      <c r="AE2664" s="139"/>
      <c r="AF2664" s="139"/>
      <c r="AG2664" s="172"/>
      <c r="AH2664" s="139"/>
    </row>
    <row r="2665" spans="6:36" ht="24" customHeight="1">
      <c r="F2665" s="341">
        <v>1.36</v>
      </c>
      <c r="G2665" s="342" t="s">
        <v>438</v>
      </c>
      <c r="H2665" s="59" t="s">
        <v>1436</v>
      </c>
      <c r="I2665" s="344">
        <v>269.10000000000002</v>
      </c>
      <c r="J2665" s="59" t="s">
        <v>438</v>
      </c>
      <c r="K2665" s="343">
        <f t="shared" si="246"/>
        <v>365.97600000000006</v>
      </c>
      <c r="O2665" s="28" t="s">
        <v>2314</v>
      </c>
      <c r="Q2665" s="28" t="s">
        <v>27</v>
      </c>
      <c r="R2665" s="28">
        <v>0.04</v>
      </c>
      <c r="AC2665" s="174"/>
      <c r="AD2665" s="171"/>
      <c r="AE2665" s="139"/>
      <c r="AF2665" s="139"/>
      <c r="AG2665" s="172"/>
      <c r="AH2665" s="139"/>
    </row>
    <row r="2666" spans="6:36" ht="24" customHeight="1">
      <c r="F2666" s="341">
        <v>2.0499999999999998</v>
      </c>
      <c r="G2666" s="342" t="s">
        <v>438</v>
      </c>
      <c r="H2666" s="59" t="s">
        <v>1437</v>
      </c>
      <c r="I2666" s="343">
        <f>D30</f>
        <v>1348.1999999999998</v>
      </c>
      <c r="J2666" s="59" t="s">
        <v>438</v>
      </c>
      <c r="K2666" s="343">
        <f t="shared" si="246"/>
        <v>2763.8099999999995</v>
      </c>
      <c r="O2666" s="28" t="s">
        <v>2315</v>
      </c>
      <c r="Q2666" s="28" t="s">
        <v>27</v>
      </c>
      <c r="R2666" s="28" t="s">
        <v>27</v>
      </c>
      <c r="AC2666" s="174"/>
      <c r="AD2666" s="171"/>
      <c r="AE2666" s="139"/>
      <c r="AF2666" s="139"/>
      <c r="AG2666" s="172"/>
      <c r="AH2666" s="139"/>
    </row>
    <row r="2667" spans="6:36" ht="24" customHeight="1">
      <c r="F2667" s="343">
        <v>2</v>
      </c>
      <c r="G2667" s="342" t="s">
        <v>105</v>
      </c>
      <c r="H2667" s="59" t="s">
        <v>2316</v>
      </c>
      <c r="I2667" s="343">
        <f>E285</f>
        <v>50.3</v>
      </c>
      <c r="J2667" s="59" t="s">
        <v>105</v>
      </c>
      <c r="K2667" s="343">
        <f t="shared" si="246"/>
        <v>100.6</v>
      </c>
      <c r="O2667" s="28" t="s">
        <v>1434</v>
      </c>
      <c r="R2667" s="28" t="s">
        <v>27</v>
      </c>
      <c r="AC2667" s="174"/>
      <c r="AD2667" s="101"/>
      <c r="AE2667" s="41"/>
      <c r="AF2667" s="139"/>
      <c r="AG2667" s="172"/>
      <c r="AH2667" s="41"/>
    </row>
    <row r="2668" spans="6:36" ht="24" customHeight="1">
      <c r="F2668" s="343">
        <v>6</v>
      </c>
      <c r="G2668" s="342" t="s">
        <v>105</v>
      </c>
      <c r="H2668" s="59" t="s">
        <v>1395</v>
      </c>
      <c r="I2668" s="343">
        <f>C282</f>
        <v>43.6</v>
      </c>
      <c r="J2668" s="59" t="s">
        <v>105</v>
      </c>
      <c r="K2668" s="343">
        <f t="shared" si="246"/>
        <v>261.60000000000002</v>
      </c>
      <c r="AC2668" s="174"/>
      <c r="AD2668" s="101"/>
      <c r="AE2668" s="41"/>
      <c r="AF2668" s="139"/>
      <c r="AG2668" s="172"/>
      <c r="AH2668" s="175"/>
    </row>
    <row r="2669" spans="6:36" ht="24" customHeight="1">
      <c r="F2669" s="343">
        <v>2</v>
      </c>
      <c r="G2669" s="342" t="s">
        <v>105</v>
      </c>
      <c r="H2669" s="345" t="s">
        <v>2317</v>
      </c>
      <c r="I2669" s="343">
        <f>I1134</f>
        <v>53.8</v>
      </c>
      <c r="J2669" s="59" t="s">
        <v>105</v>
      </c>
      <c r="K2669" s="343">
        <f t="shared" si="246"/>
        <v>107.6</v>
      </c>
      <c r="M2669" s="28">
        <v>0.01</v>
      </c>
      <c r="N2669" s="28" t="s">
        <v>93</v>
      </c>
      <c r="O2669" s="28" t="s">
        <v>454</v>
      </c>
      <c r="P2669" s="28">
        <f>I2662</f>
        <v>111600</v>
      </c>
      <c r="Q2669" s="28" t="s">
        <v>93</v>
      </c>
      <c r="R2669" s="28">
        <v>764.29</v>
      </c>
      <c r="AC2669" s="174"/>
      <c r="AD2669" s="101"/>
      <c r="AE2669" s="41"/>
      <c r="AF2669" s="139"/>
      <c r="AG2669" s="172"/>
      <c r="AH2669" s="41"/>
    </row>
    <row r="2670" spans="6:36" ht="24" customHeight="1">
      <c r="F2670" s="343">
        <v>1</v>
      </c>
      <c r="G2670" s="342" t="s">
        <v>105</v>
      </c>
      <c r="H2670" s="59" t="s">
        <v>2318</v>
      </c>
      <c r="I2670" s="344">
        <f>I1135</f>
        <v>63.2</v>
      </c>
      <c r="J2670" s="59" t="s">
        <v>105</v>
      </c>
      <c r="K2670" s="343">
        <f t="shared" si="246"/>
        <v>63.2</v>
      </c>
      <c r="M2670" s="28">
        <v>0.04</v>
      </c>
      <c r="N2670" s="28" t="s">
        <v>93</v>
      </c>
      <c r="O2670" s="28" t="s">
        <v>455</v>
      </c>
      <c r="P2670" s="28">
        <f>I2663</f>
        <v>99400</v>
      </c>
      <c r="Q2670" s="28" t="s">
        <v>93</v>
      </c>
      <c r="R2670" s="28">
        <v>2172.65</v>
      </c>
      <c r="AC2670" s="32"/>
    </row>
    <row r="2671" spans="6:36" ht="24" customHeight="1">
      <c r="F2671" s="343">
        <v>2.52</v>
      </c>
      <c r="G2671" s="342" t="s">
        <v>438</v>
      </c>
      <c r="H2671" s="59" t="s">
        <v>1441</v>
      </c>
      <c r="I2671" s="343">
        <f>K1167</f>
        <v>206.33800000000002</v>
      </c>
      <c r="J2671" s="59" t="s">
        <v>438</v>
      </c>
      <c r="K2671" s="343">
        <f t="shared" si="246"/>
        <v>519.97176000000002</v>
      </c>
      <c r="M2671" s="28">
        <v>0.02</v>
      </c>
      <c r="N2671" s="28" t="s">
        <v>93</v>
      </c>
      <c r="O2671" s="28" t="s">
        <v>1435</v>
      </c>
      <c r="P2671" s="28">
        <f>I2664</f>
        <v>14384.999999999998</v>
      </c>
      <c r="Q2671" s="28" t="s">
        <v>93</v>
      </c>
      <c r="R2671" s="28">
        <v>56.02</v>
      </c>
    </row>
    <row r="2672" spans="6:36" ht="24" customHeight="1">
      <c r="F2672" s="334"/>
      <c r="G2672" s="333"/>
      <c r="H2672" s="59" t="s">
        <v>1442</v>
      </c>
      <c r="I2672" s="346" t="s">
        <v>106</v>
      </c>
      <c r="J2672" s="335"/>
      <c r="K2672" s="343">
        <v>2.13</v>
      </c>
      <c r="M2672" s="28">
        <v>1.36</v>
      </c>
      <c r="N2672" s="28" t="s">
        <v>438</v>
      </c>
      <c r="O2672" s="28" t="s">
        <v>1436</v>
      </c>
      <c r="P2672" s="347">
        <v>385.89</v>
      </c>
      <c r="Q2672" s="28" t="s">
        <v>438</v>
      </c>
      <c r="R2672" s="28">
        <v>524.80999999999995</v>
      </c>
    </row>
    <row r="2673" spans="6:18" ht="24" customHeight="1">
      <c r="F2673" s="334"/>
      <c r="G2673" s="333"/>
      <c r="H2673" s="348"/>
      <c r="I2673" s="348"/>
      <c r="J2673" s="349"/>
      <c r="K2673" s="350" t="s">
        <v>48</v>
      </c>
      <c r="M2673" s="28">
        <v>2.0499999999999998</v>
      </c>
      <c r="N2673" s="28" t="s">
        <v>438</v>
      </c>
      <c r="O2673" s="28" t="s">
        <v>1437</v>
      </c>
      <c r="P2673" s="28">
        <f t="shared" ref="P2673:P2678" si="247">I2666</f>
        <v>1348.1999999999998</v>
      </c>
      <c r="Q2673" s="28" t="s">
        <v>438</v>
      </c>
      <c r="R2673" s="28">
        <v>586.29999999999995</v>
      </c>
    </row>
    <row r="2674" spans="6:18" ht="24" customHeight="1">
      <c r="F2674" s="334"/>
      <c r="G2674" s="333"/>
      <c r="H2674" s="351" t="s">
        <v>1443</v>
      </c>
      <c r="I2674" s="348"/>
      <c r="J2674" s="349"/>
      <c r="K2674" s="352">
        <f>SUM(K2662:K2672)</f>
        <v>9515.9895099999994</v>
      </c>
      <c r="M2674" s="28">
        <v>2</v>
      </c>
      <c r="N2674" s="28" t="s">
        <v>105</v>
      </c>
      <c r="O2674" s="28" t="s">
        <v>2316</v>
      </c>
      <c r="P2674" s="28">
        <f t="shared" si="247"/>
        <v>50.3</v>
      </c>
      <c r="Q2674" s="28" t="s">
        <v>105</v>
      </c>
      <c r="R2674" s="28">
        <v>50</v>
      </c>
    </row>
    <row r="2675" spans="6:18" ht="24" customHeight="1">
      <c r="F2675" s="334"/>
      <c r="G2675" s="342" t="s">
        <v>27</v>
      </c>
      <c r="H2675" s="348"/>
      <c r="I2675" s="348"/>
      <c r="J2675" s="349"/>
      <c r="K2675" s="350" t="s">
        <v>48</v>
      </c>
      <c r="M2675" s="28">
        <v>6</v>
      </c>
      <c r="N2675" s="28" t="s">
        <v>105</v>
      </c>
      <c r="O2675" s="28" t="s">
        <v>1395</v>
      </c>
      <c r="P2675" s="28">
        <f t="shared" si="247"/>
        <v>43.6</v>
      </c>
      <c r="Q2675" s="28" t="s">
        <v>105</v>
      </c>
      <c r="R2675" s="28">
        <v>150</v>
      </c>
    </row>
    <row r="2676" spans="6:18" ht="24" customHeight="1">
      <c r="F2676" s="334"/>
      <c r="G2676" s="333"/>
      <c r="H2676" s="351" t="s">
        <v>403</v>
      </c>
      <c r="I2676" s="348"/>
      <c r="J2676" s="349"/>
      <c r="K2676" s="352">
        <f>K2674/2.52</f>
        <v>3776.1863134920632</v>
      </c>
      <c r="M2676" s="28">
        <v>2</v>
      </c>
      <c r="N2676" s="28" t="s">
        <v>105</v>
      </c>
      <c r="O2676" s="28" t="s">
        <v>2319</v>
      </c>
      <c r="P2676" s="28">
        <f t="shared" si="247"/>
        <v>53.8</v>
      </c>
      <c r="Q2676" s="28" t="s">
        <v>105</v>
      </c>
      <c r="R2676" s="28">
        <v>70</v>
      </c>
    </row>
    <row r="2677" spans="6:18" ht="24" customHeight="1">
      <c r="F2677" s="334"/>
      <c r="G2677" s="333"/>
      <c r="H2677" s="348"/>
      <c r="I2677" s="348"/>
      <c r="J2677" s="349"/>
      <c r="K2677" s="350" t="s">
        <v>41</v>
      </c>
      <c r="M2677" s="28">
        <v>1</v>
      </c>
      <c r="N2677" s="28" t="s">
        <v>105</v>
      </c>
      <c r="O2677" s="28" t="s">
        <v>2318</v>
      </c>
      <c r="P2677" s="28">
        <f t="shared" si="247"/>
        <v>63.2</v>
      </c>
      <c r="Q2677" s="28" t="s">
        <v>105</v>
      </c>
      <c r="R2677" s="28">
        <v>60</v>
      </c>
    </row>
    <row r="2678" spans="6:18" ht="24" customHeight="1">
      <c r="F2678" s="334"/>
      <c r="G2678" s="333"/>
      <c r="H2678" s="348"/>
      <c r="I2678" s="348"/>
      <c r="J2678" s="349"/>
      <c r="K2678" s="348"/>
      <c r="M2678" s="28">
        <v>2.52</v>
      </c>
      <c r="N2678" s="28" t="s">
        <v>438</v>
      </c>
      <c r="O2678" s="28" t="s">
        <v>1441</v>
      </c>
      <c r="P2678" s="28">
        <f t="shared" si="247"/>
        <v>206.33800000000002</v>
      </c>
      <c r="Q2678" s="28" t="s">
        <v>438</v>
      </c>
      <c r="R2678" s="28">
        <v>124.71</v>
      </c>
    </row>
    <row r="2679" spans="6:18" ht="24" customHeight="1">
      <c r="F2679" s="331" t="s">
        <v>2320</v>
      </c>
      <c r="G2679" s="331"/>
      <c r="H2679" s="331"/>
      <c r="I2679" s="331"/>
      <c r="J2679" s="331"/>
      <c r="K2679" s="331"/>
      <c r="O2679" s="28" t="s">
        <v>1442</v>
      </c>
      <c r="P2679" s="28" t="s">
        <v>106</v>
      </c>
      <c r="R2679" s="28">
        <v>0.28000000000000003</v>
      </c>
    </row>
    <row r="2680" spans="6:18" ht="24" customHeight="1">
      <c r="F2680" s="353">
        <v>4</v>
      </c>
      <c r="G2680" s="29" t="s">
        <v>1336</v>
      </c>
      <c r="H2680" s="28" t="s">
        <v>2321</v>
      </c>
      <c r="I2680" s="139">
        <f>C394</f>
        <v>151.4</v>
      </c>
      <c r="J2680" s="31" t="s">
        <v>2322</v>
      </c>
      <c r="K2680" s="353">
        <f>I2680*F2680</f>
        <v>605.6</v>
      </c>
      <c r="R2680" s="28" t="s">
        <v>48</v>
      </c>
    </row>
    <row r="2681" spans="6:18" ht="24" customHeight="1">
      <c r="F2681" s="353">
        <v>2.52</v>
      </c>
      <c r="G2681" s="29" t="s">
        <v>2322</v>
      </c>
      <c r="H2681" s="28" t="s">
        <v>2323</v>
      </c>
      <c r="I2681" s="28">
        <f>C34/1000</f>
        <v>41.2</v>
      </c>
      <c r="J2681" s="31" t="s">
        <v>392</v>
      </c>
      <c r="K2681" s="353">
        <f t="shared" ref="K2681:K2687" si="248">I2681*F2681</f>
        <v>103.82400000000001</v>
      </c>
      <c r="O2681" s="28" t="s">
        <v>1443</v>
      </c>
      <c r="R2681" s="28">
        <v>4559.0600000000004</v>
      </c>
    </row>
    <row r="2682" spans="6:18" ht="24" customHeight="1">
      <c r="F2682" s="353">
        <v>1.1299999999999999</v>
      </c>
      <c r="G2682" s="29" t="s">
        <v>2322</v>
      </c>
      <c r="H2682" s="28" t="s">
        <v>2324</v>
      </c>
      <c r="I2682" s="28">
        <f>I2681</f>
        <v>41.2</v>
      </c>
      <c r="J2682" s="31" t="s">
        <v>392</v>
      </c>
      <c r="K2682" s="353">
        <f t="shared" si="248"/>
        <v>46.555999999999997</v>
      </c>
      <c r="N2682" s="28" t="s">
        <v>27</v>
      </c>
      <c r="R2682" s="28" t="s">
        <v>48</v>
      </c>
    </row>
    <row r="2683" spans="6:18" ht="24" customHeight="1">
      <c r="F2683" s="353">
        <v>0.35</v>
      </c>
      <c r="G2683" s="29" t="s">
        <v>392</v>
      </c>
      <c r="H2683" s="28" t="s">
        <v>2325</v>
      </c>
      <c r="I2683" s="28">
        <f>I2682</f>
        <v>41.2</v>
      </c>
      <c r="J2683" s="31" t="s">
        <v>392</v>
      </c>
      <c r="K2683" s="353">
        <f t="shared" si="248"/>
        <v>14.42</v>
      </c>
      <c r="O2683" s="28" t="s">
        <v>403</v>
      </c>
      <c r="R2683" s="28">
        <v>1809.15</v>
      </c>
    </row>
    <row r="2684" spans="6:18" ht="24" customHeight="1">
      <c r="F2684" s="353">
        <v>4</v>
      </c>
      <c r="G2684" s="29" t="s">
        <v>392</v>
      </c>
      <c r="H2684" s="28" t="s">
        <v>2326</v>
      </c>
      <c r="I2684" s="28">
        <f>C37</f>
        <v>41.6</v>
      </c>
      <c r="J2684" s="31" t="s">
        <v>392</v>
      </c>
      <c r="K2684" s="353">
        <f t="shared" si="248"/>
        <v>166.4</v>
      </c>
      <c r="R2684" s="28" t="s">
        <v>41</v>
      </c>
    </row>
    <row r="2685" spans="6:18" ht="24" customHeight="1">
      <c r="F2685" s="353">
        <v>6</v>
      </c>
      <c r="G2685" s="29" t="s">
        <v>1336</v>
      </c>
      <c r="H2685" s="28" t="s">
        <v>2327</v>
      </c>
      <c r="I2685" s="28">
        <v>1</v>
      </c>
      <c r="J2685" s="31" t="s">
        <v>793</v>
      </c>
      <c r="K2685" s="353">
        <f t="shared" si="248"/>
        <v>6</v>
      </c>
    </row>
    <row r="2686" spans="6:18" ht="24" customHeight="1">
      <c r="F2686" s="353">
        <v>0.5</v>
      </c>
      <c r="G2686" s="29" t="s">
        <v>1336</v>
      </c>
      <c r="H2686" s="28" t="s">
        <v>2094</v>
      </c>
      <c r="I2686" s="28">
        <f>C12</f>
        <v>702.8</v>
      </c>
      <c r="J2686" s="31" t="s">
        <v>793</v>
      </c>
      <c r="K2686" s="353">
        <f t="shared" si="248"/>
        <v>351.4</v>
      </c>
    </row>
    <row r="2687" spans="6:18" ht="24" customHeight="1">
      <c r="F2687" s="353">
        <v>0.5</v>
      </c>
      <c r="G2687" s="29" t="s">
        <v>1336</v>
      </c>
      <c r="H2687" s="28" t="s">
        <v>2159</v>
      </c>
      <c r="I2687" s="28">
        <f>C13</f>
        <v>576.79999999999995</v>
      </c>
      <c r="J2687" s="31" t="s">
        <v>793</v>
      </c>
      <c r="K2687" s="353">
        <f t="shared" si="248"/>
        <v>288.39999999999998</v>
      </c>
    </row>
    <row r="2688" spans="6:18" ht="24" customHeight="1">
      <c r="G2688" s="29" t="s">
        <v>106</v>
      </c>
      <c r="H2688" s="28" t="s">
        <v>2328</v>
      </c>
      <c r="I2688" s="117" t="s">
        <v>106</v>
      </c>
      <c r="K2688" s="28">
        <v>21.69</v>
      </c>
      <c r="L2688" s="28">
        <f>24*176</f>
        <v>4224</v>
      </c>
    </row>
    <row r="2689" spans="6:12" ht="24" customHeight="1">
      <c r="G2689" s="28"/>
      <c r="H2689" s="354" t="s">
        <v>2329</v>
      </c>
      <c r="K2689" s="355">
        <f>SUM(K2680:K2688)</f>
        <v>1604.29</v>
      </c>
    </row>
    <row r="2690" spans="6:12" ht="24" customHeight="1">
      <c r="G2690" s="28"/>
      <c r="H2690" s="354" t="s">
        <v>2226</v>
      </c>
      <c r="K2690" s="355">
        <f>K2689/2</f>
        <v>802.14499999999998</v>
      </c>
    </row>
    <row r="2691" spans="6:12" ht="24" customHeight="1">
      <c r="G2691" s="28"/>
      <c r="L2691" s="28">
        <f>K2725+K2716</f>
        <v>205.37200000000001</v>
      </c>
    </row>
    <row r="2692" spans="6:12" ht="24" customHeight="1">
      <c r="H2692" s="28" t="s">
        <v>2330</v>
      </c>
    </row>
    <row r="2694" spans="6:12" ht="24" customHeight="1">
      <c r="F2694" s="356"/>
      <c r="G2694" s="357"/>
      <c r="H2694" s="358" t="s">
        <v>2331</v>
      </c>
      <c r="I2694" s="356"/>
      <c r="J2694" s="359"/>
      <c r="K2694" s="356"/>
    </row>
    <row r="2695" spans="6:12" ht="24" customHeight="1">
      <c r="F2695" s="356"/>
      <c r="G2695" s="357"/>
      <c r="H2695" s="356" t="s">
        <v>2332</v>
      </c>
      <c r="I2695" s="356"/>
      <c r="J2695" s="359"/>
      <c r="K2695" s="356"/>
    </row>
    <row r="2696" spans="6:12" ht="24" customHeight="1">
      <c r="F2696" s="356">
        <v>41.6</v>
      </c>
      <c r="G2696" s="357" t="s">
        <v>392</v>
      </c>
      <c r="H2696" s="356" t="s">
        <v>2333</v>
      </c>
      <c r="I2696" s="356">
        <f>I2681</f>
        <v>41.2</v>
      </c>
      <c r="J2696" s="359" t="s">
        <v>392</v>
      </c>
      <c r="K2696" s="356">
        <f>F2696*I2696</f>
        <v>1713.92</v>
      </c>
    </row>
    <row r="2697" spans="6:12" ht="24" customHeight="1">
      <c r="F2697" s="356">
        <v>0.5</v>
      </c>
      <c r="G2697" s="357" t="s">
        <v>1130</v>
      </c>
      <c r="H2697" s="356" t="s">
        <v>2334</v>
      </c>
      <c r="I2697" s="356">
        <f>AG21</f>
        <v>827.4</v>
      </c>
      <c r="J2697" s="359" t="s">
        <v>793</v>
      </c>
      <c r="K2697" s="356">
        <f>F2697*I2697</f>
        <v>413.7</v>
      </c>
    </row>
    <row r="2698" spans="6:12" ht="24" customHeight="1">
      <c r="F2698" s="356">
        <v>1</v>
      </c>
      <c r="G2698" s="357" t="s">
        <v>791</v>
      </c>
      <c r="H2698" s="356" t="s">
        <v>2335</v>
      </c>
      <c r="I2698" s="356">
        <f>C10</f>
        <v>1076.5999999999999</v>
      </c>
      <c r="J2698" s="359" t="s">
        <v>793</v>
      </c>
      <c r="K2698" s="356">
        <f>F2698*I2698</f>
        <v>1076.5999999999999</v>
      </c>
    </row>
    <row r="2699" spans="6:12" ht="24" customHeight="1">
      <c r="F2699" s="356">
        <v>1</v>
      </c>
      <c r="G2699" s="357" t="s">
        <v>791</v>
      </c>
      <c r="H2699" s="356" t="s">
        <v>1451</v>
      </c>
      <c r="I2699" s="356">
        <f>C13</f>
        <v>576.79999999999995</v>
      </c>
      <c r="J2699" s="359" t="s">
        <v>793</v>
      </c>
      <c r="K2699" s="356">
        <f>F2699*I2699</f>
        <v>576.79999999999995</v>
      </c>
    </row>
    <row r="2700" spans="6:12" ht="24" customHeight="1">
      <c r="F2700" s="356"/>
      <c r="G2700" s="357" t="s">
        <v>106</v>
      </c>
      <c r="H2700" s="356" t="s">
        <v>2336</v>
      </c>
      <c r="I2700" s="356"/>
      <c r="J2700" s="359" t="s">
        <v>106</v>
      </c>
      <c r="K2700" s="356">
        <v>27.7</v>
      </c>
    </row>
    <row r="2701" spans="6:12" ht="24" customHeight="1">
      <c r="F2701" s="356"/>
      <c r="G2701" s="357"/>
      <c r="H2701" s="360" t="s">
        <v>2337</v>
      </c>
      <c r="I2701" s="356"/>
      <c r="J2701" s="360" t="s">
        <v>2338</v>
      </c>
      <c r="K2701" s="356">
        <f>SUM(K2696:K2700)</f>
        <v>3808.7199999999993</v>
      </c>
    </row>
    <row r="2702" spans="6:12" ht="24" customHeight="1">
      <c r="F2702" s="356"/>
      <c r="G2702" s="357"/>
      <c r="H2702" s="360" t="s">
        <v>2339</v>
      </c>
      <c r="I2702" s="356"/>
      <c r="J2702" s="360" t="s">
        <v>2338</v>
      </c>
      <c r="K2702" s="356">
        <f>K2701/16</f>
        <v>238.04499999999996</v>
      </c>
    </row>
    <row r="2703" spans="6:12" ht="24" customHeight="1">
      <c r="F2703" s="356"/>
      <c r="G2703" s="357"/>
      <c r="H2703" s="361" t="s">
        <v>2340</v>
      </c>
      <c r="I2703" s="362"/>
      <c r="J2703" s="361" t="s">
        <v>2338</v>
      </c>
      <c r="K2703" s="362">
        <f>K2702/0.95</f>
        <v>250.5736842105263</v>
      </c>
    </row>
    <row r="2704" spans="6:12" ht="24" customHeight="1">
      <c r="F2704" s="356"/>
      <c r="G2704" s="357"/>
      <c r="H2704" s="356"/>
      <c r="I2704" s="356"/>
      <c r="J2704" s="359"/>
      <c r="K2704" s="356"/>
    </row>
    <row r="2705" spans="6:11" ht="24" customHeight="1">
      <c r="F2705" s="356"/>
      <c r="G2705" s="357"/>
      <c r="H2705" s="356"/>
      <c r="I2705" s="356"/>
      <c r="J2705" s="359"/>
      <c r="K2705" s="356"/>
    </row>
    <row r="2706" spans="6:11" ht="24" customHeight="1">
      <c r="F2706" s="215" t="s">
        <v>1667</v>
      </c>
      <c r="G2706" s="363" t="s">
        <v>67</v>
      </c>
      <c r="H2706" s="214" t="s">
        <v>1668</v>
      </c>
      <c r="I2706" s="356"/>
      <c r="J2706" s="359"/>
      <c r="K2706" s="356"/>
    </row>
    <row r="2707" spans="6:11" ht="50.25" customHeight="1">
      <c r="F2707" s="356"/>
      <c r="G2707" s="357"/>
      <c r="H2707" s="214" t="s">
        <v>1669</v>
      </c>
      <c r="I2707" s="356"/>
      <c r="J2707" s="359"/>
      <c r="K2707" s="356"/>
    </row>
    <row r="2708" spans="6:11" ht="24" customHeight="1">
      <c r="F2708" s="356"/>
      <c r="G2708" s="357"/>
      <c r="H2708" s="214" t="s">
        <v>1670</v>
      </c>
      <c r="I2708" s="356"/>
      <c r="J2708" s="359"/>
      <c r="K2708" s="356"/>
    </row>
    <row r="2709" spans="6:11" ht="24" customHeight="1">
      <c r="F2709" s="356"/>
      <c r="G2709" s="357"/>
      <c r="H2709" s="214" t="s">
        <v>1671</v>
      </c>
      <c r="I2709" s="356"/>
      <c r="J2709" s="359"/>
      <c r="K2709" s="356"/>
    </row>
    <row r="2710" spans="6:11" ht="24" customHeight="1">
      <c r="F2710" s="356"/>
      <c r="G2710" s="357"/>
      <c r="H2710" s="364" t="s">
        <v>48</v>
      </c>
      <c r="I2710" s="356"/>
      <c r="J2710" s="359"/>
      <c r="K2710" s="356"/>
    </row>
    <row r="2711" spans="6:11" ht="24" customHeight="1">
      <c r="F2711" s="212">
        <v>1.8</v>
      </c>
      <c r="G2711" s="363" t="s">
        <v>392</v>
      </c>
      <c r="H2711" s="365" t="s">
        <v>2341</v>
      </c>
      <c r="I2711" s="212">
        <f>C609</f>
        <v>22.2</v>
      </c>
      <c r="J2711" s="215" t="s">
        <v>392</v>
      </c>
      <c r="K2711" s="212">
        <f>(F2711*I2711)</f>
        <v>39.96</v>
      </c>
    </row>
    <row r="2712" spans="6:11" ht="24" customHeight="1">
      <c r="F2712" s="212">
        <v>0.25</v>
      </c>
      <c r="G2712" s="363" t="s">
        <v>105</v>
      </c>
      <c r="H2712" s="214" t="s">
        <v>1673</v>
      </c>
      <c r="I2712" s="212">
        <f>C14</f>
        <v>861</v>
      </c>
      <c r="J2712" s="215" t="s">
        <v>105</v>
      </c>
      <c r="K2712" s="212">
        <f>(F2712*I2712)</f>
        <v>215.25</v>
      </c>
    </row>
    <row r="2713" spans="6:11" ht="24" customHeight="1">
      <c r="F2713" s="212">
        <v>0.25</v>
      </c>
      <c r="G2713" s="363" t="s">
        <v>105</v>
      </c>
      <c r="H2713" s="214" t="s">
        <v>1482</v>
      </c>
      <c r="I2713" s="212">
        <f>C12</f>
        <v>702.8</v>
      </c>
      <c r="J2713" s="215" t="s">
        <v>105</v>
      </c>
      <c r="K2713" s="212">
        <f>(F2713*I2713)</f>
        <v>175.7</v>
      </c>
    </row>
    <row r="2714" spans="6:11" ht="24" customHeight="1">
      <c r="F2714" s="212">
        <v>0.4</v>
      </c>
      <c r="G2714" s="363" t="s">
        <v>105</v>
      </c>
      <c r="H2714" s="214" t="s">
        <v>276</v>
      </c>
      <c r="I2714" s="212">
        <f>C13</f>
        <v>576.79999999999995</v>
      </c>
      <c r="J2714" s="215" t="s">
        <v>105</v>
      </c>
      <c r="K2714" s="212">
        <f>(F2714*I2714)</f>
        <v>230.72</v>
      </c>
    </row>
    <row r="2715" spans="6:11" ht="24" customHeight="1">
      <c r="F2715" s="356"/>
      <c r="G2715" s="363"/>
      <c r="H2715" s="214"/>
      <c r="I2715" s="214" t="s">
        <v>27</v>
      </c>
      <c r="J2715" s="215"/>
      <c r="K2715" s="212">
        <f>SUM(K2711:K2714)</f>
        <v>661.63</v>
      </c>
    </row>
    <row r="2716" spans="6:11" ht="24" customHeight="1">
      <c r="F2716" s="356"/>
      <c r="G2716" s="357"/>
      <c r="H2716" s="362"/>
      <c r="I2716" s="362"/>
      <c r="J2716" s="366"/>
      <c r="K2716" s="367">
        <f>K2715/10</f>
        <v>66.162999999999997</v>
      </c>
    </row>
    <row r="2717" spans="6:11" ht="24" customHeight="1">
      <c r="F2717" s="212">
        <v>3</v>
      </c>
      <c r="G2717" s="363" t="s">
        <v>392</v>
      </c>
      <c r="H2717" s="214" t="s">
        <v>1672</v>
      </c>
      <c r="I2717" s="368">
        <f>C271</f>
        <v>48.95</v>
      </c>
      <c r="J2717" s="215" t="s">
        <v>392</v>
      </c>
      <c r="K2717" s="368">
        <f>(F2717*I2717)</f>
        <v>146.85000000000002</v>
      </c>
    </row>
    <row r="2718" spans="6:11" ht="24" customHeight="1">
      <c r="F2718" s="212">
        <v>0.5</v>
      </c>
      <c r="G2718" s="363" t="s">
        <v>105</v>
      </c>
      <c r="H2718" s="214" t="s">
        <v>1673</v>
      </c>
      <c r="I2718" s="368">
        <f>C14</f>
        <v>861</v>
      </c>
      <c r="J2718" s="215" t="s">
        <v>105</v>
      </c>
      <c r="K2718" s="368">
        <f>(F2718*I2718)</f>
        <v>430.5</v>
      </c>
    </row>
    <row r="2719" spans="6:11" ht="24" customHeight="1">
      <c r="F2719" s="212">
        <v>0.5</v>
      </c>
      <c r="G2719" s="363" t="s">
        <v>105</v>
      </c>
      <c r="H2719" s="214" t="s">
        <v>1482</v>
      </c>
      <c r="I2719" s="368">
        <f>I2713</f>
        <v>702.8</v>
      </c>
      <c r="J2719" s="215" t="s">
        <v>105</v>
      </c>
      <c r="K2719" s="368">
        <f>(F2719*I2719)</f>
        <v>351.4</v>
      </c>
    </row>
    <row r="2720" spans="6:11" ht="24" customHeight="1">
      <c r="F2720" s="212">
        <v>0.8</v>
      </c>
      <c r="G2720" s="363" t="s">
        <v>105</v>
      </c>
      <c r="H2720" s="214" t="s">
        <v>276</v>
      </c>
      <c r="I2720" s="368">
        <f>I2714</f>
        <v>576.79999999999995</v>
      </c>
      <c r="J2720" s="215" t="s">
        <v>105</v>
      </c>
      <c r="K2720" s="368">
        <f>(F2720*I2720)</f>
        <v>461.44</v>
      </c>
    </row>
    <row r="2721" spans="6:12" ht="24" customHeight="1">
      <c r="F2721" s="356"/>
      <c r="G2721" s="363" t="s">
        <v>106</v>
      </c>
      <c r="H2721" s="214" t="s">
        <v>603</v>
      </c>
      <c r="I2721" s="214" t="s">
        <v>27</v>
      </c>
      <c r="J2721" s="215" t="s">
        <v>106</v>
      </c>
      <c r="K2721" s="212">
        <v>1.9</v>
      </c>
    </row>
    <row r="2722" spans="6:12" ht="24" customHeight="1">
      <c r="F2722" s="356"/>
      <c r="G2722" s="357"/>
      <c r="H2722" s="362"/>
      <c r="I2722" s="362"/>
      <c r="J2722" s="366"/>
      <c r="K2722" s="369" t="s">
        <v>48</v>
      </c>
    </row>
    <row r="2723" spans="6:12" ht="24" customHeight="1">
      <c r="F2723" s="356"/>
      <c r="G2723" s="357"/>
      <c r="H2723" s="370" t="s">
        <v>401</v>
      </c>
      <c r="I2723" s="362"/>
      <c r="J2723" s="366"/>
      <c r="K2723" s="371">
        <f>SUM(K2717:K2721)</f>
        <v>1392.0900000000001</v>
      </c>
    </row>
    <row r="2724" spans="6:12" ht="24" customHeight="1">
      <c r="F2724" s="356"/>
      <c r="G2724" s="357"/>
      <c r="H2724" s="362"/>
      <c r="I2724" s="362"/>
      <c r="J2724" s="366"/>
      <c r="K2724" s="369" t="s">
        <v>48</v>
      </c>
    </row>
    <row r="2725" spans="6:12" ht="24" customHeight="1">
      <c r="F2725" s="356"/>
      <c r="G2725" s="357"/>
      <c r="H2725" s="370" t="s">
        <v>403</v>
      </c>
      <c r="I2725" s="362"/>
      <c r="J2725" s="366"/>
      <c r="K2725" s="371">
        <f>(K2723/10)</f>
        <v>139.209</v>
      </c>
    </row>
    <row r="2726" spans="6:12" ht="24" customHeight="1">
      <c r="F2726" s="356"/>
      <c r="G2726" s="356"/>
      <c r="H2726" s="356"/>
      <c r="I2726" s="356"/>
      <c r="J2726" s="356"/>
      <c r="K2726" s="356"/>
    </row>
    <row r="2727" spans="6:12" ht="24" customHeight="1">
      <c r="F2727" s="372"/>
      <c r="G2727" s="363" t="s">
        <v>67</v>
      </c>
      <c r="H2727" s="214" t="s">
        <v>641</v>
      </c>
      <c r="I2727" s="356"/>
      <c r="J2727" s="359"/>
      <c r="K2727" s="356"/>
    </row>
    <row r="2728" spans="6:12" ht="24" customHeight="1">
      <c r="F2728" s="356"/>
      <c r="G2728" s="357"/>
      <c r="H2728" s="214" t="s">
        <v>1853</v>
      </c>
      <c r="I2728" s="356"/>
      <c r="J2728" s="359"/>
      <c r="K2728" s="356"/>
    </row>
    <row r="2729" spans="6:12" ht="24" customHeight="1">
      <c r="F2729" s="356"/>
      <c r="G2729" s="357"/>
      <c r="H2729" s="214" t="s">
        <v>2342</v>
      </c>
      <c r="I2729" s="356"/>
      <c r="J2729" s="359"/>
      <c r="K2729" s="356"/>
    </row>
    <row r="2730" spans="6:12" ht="24" customHeight="1">
      <c r="F2730" s="356"/>
      <c r="G2730" s="357"/>
      <c r="H2730" s="364" t="s">
        <v>48</v>
      </c>
      <c r="I2730" s="356"/>
      <c r="J2730" s="359"/>
      <c r="K2730" s="356"/>
    </row>
    <row r="2731" spans="6:12" ht="24" customHeight="1">
      <c r="F2731" s="356"/>
      <c r="G2731" s="363" t="s">
        <v>1854</v>
      </c>
      <c r="H2731" s="214" t="s">
        <v>709</v>
      </c>
      <c r="I2731" s="356"/>
      <c r="J2731" s="359"/>
      <c r="K2731" s="214" t="s">
        <v>1855</v>
      </c>
    </row>
    <row r="2732" spans="6:12" ht="24" customHeight="1">
      <c r="F2732" s="356"/>
      <c r="G2732" s="357"/>
      <c r="H2732" s="364" t="s">
        <v>48</v>
      </c>
      <c r="I2732" s="356"/>
      <c r="J2732" s="359"/>
      <c r="K2732" s="364" t="s">
        <v>41</v>
      </c>
    </row>
    <row r="2733" spans="6:12" ht="24" customHeight="1">
      <c r="F2733" s="212">
        <v>30</v>
      </c>
      <c r="G2733" s="363" t="s">
        <v>244</v>
      </c>
      <c r="H2733" s="214" t="s">
        <v>715</v>
      </c>
      <c r="I2733" s="212">
        <f>C661</f>
        <v>8.1</v>
      </c>
      <c r="J2733" s="215" t="s">
        <v>244</v>
      </c>
      <c r="K2733" s="212">
        <f>(F2733*I2733)</f>
        <v>243</v>
      </c>
    </row>
    <row r="2734" spans="6:12" ht="24" customHeight="1">
      <c r="F2734" s="214" t="s">
        <v>27</v>
      </c>
      <c r="G2734" s="357"/>
      <c r="H2734" s="214" t="s">
        <v>718</v>
      </c>
      <c r="I2734" s="214" t="s">
        <v>27</v>
      </c>
      <c r="J2734" s="359"/>
      <c r="K2734" s="214" t="s">
        <v>27</v>
      </c>
    </row>
    <row r="2735" spans="6:12" ht="24" customHeight="1">
      <c r="F2735" s="212">
        <v>8</v>
      </c>
      <c r="G2735" s="363" t="s">
        <v>105</v>
      </c>
      <c r="H2735" s="214" t="s">
        <v>657</v>
      </c>
      <c r="I2735" s="212">
        <f>I1806</f>
        <v>7.1</v>
      </c>
      <c r="J2735" s="215" t="s">
        <v>105</v>
      </c>
      <c r="K2735" s="212">
        <f t="shared" ref="K2735:K2740" si="249">(F2735*I2735)</f>
        <v>56.8</v>
      </c>
    </row>
    <row r="2736" spans="6:12" ht="24" customHeight="1">
      <c r="F2736" s="212">
        <v>8</v>
      </c>
      <c r="G2736" s="363" t="s">
        <v>105</v>
      </c>
      <c r="H2736" s="214" t="s">
        <v>660</v>
      </c>
      <c r="I2736" s="212">
        <f>I1807</f>
        <v>10.199999999999999</v>
      </c>
      <c r="J2736" s="215" t="s">
        <v>105</v>
      </c>
      <c r="K2736" s="212">
        <f t="shared" si="249"/>
        <v>81.599999999999994</v>
      </c>
      <c r="L2736" s="222"/>
    </row>
    <row r="2737" spans="6:12" ht="24" customHeight="1">
      <c r="F2737" s="212">
        <v>3</v>
      </c>
      <c r="G2737" s="363" t="s">
        <v>105</v>
      </c>
      <c r="H2737" s="214" t="s">
        <v>723</v>
      </c>
      <c r="I2737" s="212">
        <f>C41</f>
        <v>796.59999999999991</v>
      </c>
      <c r="J2737" s="215" t="s">
        <v>105</v>
      </c>
      <c r="K2737" s="212">
        <f t="shared" si="249"/>
        <v>2389.7999999999997</v>
      </c>
      <c r="L2737" s="224"/>
    </row>
    <row r="2738" spans="6:12" ht="24" customHeight="1">
      <c r="F2738" s="212">
        <v>1</v>
      </c>
      <c r="G2738" s="363" t="s">
        <v>105</v>
      </c>
      <c r="H2738" s="214" t="s">
        <v>1856</v>
      </c>
      <c r="I2738" s="212">
        <f>C10</f>
        <v>1076.5999999999999</v>
      </c>
      <c r="J2738" s="215" t="s">
        <v>105</v>
      </c>
      <c r="K2738" s="212">
        <f t="shared" si="249"/>
        <v>1076.5999999999999</v>
      </c>
      <c r="L2738" s="224"/>
    </row>
    <row r="2739" spans="6:12" ht="24" customHeight="1">
      <c r="F2739" s="212">
        <v>2</v>
      </c>
      <c r="G2739" s="363" t="s">
        <v>105</v>
      </c>
      <c r="H2739" s="214" t="s">
        <v>271</v>
      </c>
      <c r="I2739" s="212">
        <f>C12</f>
        <v>702.8</v>
      </c>
      <c r="J2739" s="215" t="s">
        <v>105</v>
      </c>
      <c r="K2739" s="212">
        <f t="shared" si="249"/>
        <v>1405.6</v>
      </c>
      <c r="L2739" s="224"/>
    </row>
    <row r="2740" spans="6:12" ht="24" customHeight="1">
      <c r="F2740" s="212">
        <v>1</v>
      </c>
      <c r="G2740" s="363" t="s">
        <v>105</v>
      </c>
      <c r="H2740" s="214" t="s">
        <v>276</v>
      </c>
      <c r="I2740" s="212">
        <f>C13</f>
        <v>576.79999999999995</v>
      </c>
      <c r="J2740" s="215" t="s">
        <v>105</v>
      </c>
      <c r="K2740" s="212">
        <f t="shared" si="249"/>
        <v>576.79999999999995</v>
      </c>
      <c r="L2740" s="224"/>
    </row>
    <row r="2741" spans="6:12" ht="24" customHeight="1">
      <c r="F2741" s="356"/>
      <c r="G2741" s="363" t="s">
        <v>106</v>
      </c>
      <c r="H2741" s="373" t="s">
        <v>2343</v>
      </c>
      <c r="I2741" s="212" t="s">
        <v>2200</v>
      </c>
      <c r="J2741" s="215" t="s">
        <v>106</v>
      </c>
      <c r="K2741" s="212">
        <v>64.849999999999994</v>
      </c>
      <c r="L2741" s="224"/>
    </row>
    <row r="2742" spans="6:12" ht="24" customHeight="1">
      <c r="F2742" s="356"/>
      <c r="G2742" s="357"/>
      <c r="H2742" s="214"/>
      <c r="I2742" s="212"/>
      <c r="J2742" s="359"/>
      <c r="K2742" s="368"/>
      <c r="L2742" s="224"/>
    </row>
    <row r="2743" spans="6:12" ht="24" customHeight="1">
      <c r="F2743" s="356"/>
      <c r="G2743" s="356"/>
      <c r="H2743" s="356"/>
      <c r="I2743" s="356"/>
      <c r="J2743" s="356"/>
      <c r="K2743" s="356"/>
      <c r="L2743" s="224"/>
    </row>
    <row r="2744" spans="6:12" ht="24" customHeight="1">
      <c r="F2744" s="356"/>
      <c r="G2744" s="357"/>
      <c r="H2744" s="356"/>
      <c r="I2744" s="356"/>
      <c r="J2744" s="359"/>
      <c r="K2744" s="364" t="s">
        <v>48</v>
      </c>
      <c r="L2744" s="224"/>
    </row>
    <row r="2745" spans="6:12" ht="24" customHeight="1">
      <c r="F2745" s="356"/>
      <c r="G2745" s="357"/>
      <c r="H2745" s="370" t="s">
        <v>729</v>
      </c>
      <c r="I2745" s="362"/>
      <c r="J2745" s="366"/>
      <c r="K2745" s="371">
        <f>SUM(K2733:K2744)</f>
        <v>5895.05</v>
      </c>
      <c r="L2745" s="233"/>
    </row>
    <row r="2746" spans="6:12" ht="24" customHeight="1">
      <c r="F2746" s="356"/>
      <c r="G2746" s="357"/>
      <c r="H2746" s="362"/>
      <c r="I2746" s="362"/>
      <c r="J2746" s="366"/>
      <c r="K2746" s="369" t="s">
        <v>48</v>
      </c>
    </row>
    <row r="2747" spans="6:12" ht="24" customHeight="1">
      <c r="F2747" s="356"/>
      <c r="G2747" s="357"/>
      <c r="H2747" s="370" t="s">
        <v>665</v>
      </c>
      <c r="I2747" s="362"/>
      <c r="J2747" s="366"/>
      <c r="K2747" s="371">
        <f>(K2745/30)</f>
        <v>196.50166666666667</v>
      </c>
    </row>
    <row r="2748" spans="6:12" ht="24" customHeight="1">
      <c r="F2748" s="356"/>
      <c r="G2748" s="356"/>
      <c r="H2748" s="356"/>
      <c r="I2748" s="356"/>
      <c r="J2748" s="356"/>
      <c r="K2748" s="356"/>
    </row>
    <row r="2749" spans="6:12" ht="24" customHeight="1">
      <c r="F2749" s="356"/>
      <c r="G2749" s="356"/>
      <c r="H2749" s="356"/>
      <c r="I2749" s="356"/>
      <c r="J2749" s="356"/>
      <c r="K2749" s="356"/>
    </row>
    <row r="2750" spans="6:12" ht="24" customHeight="1">
      <c r="F2750" s="374">
        <v>52</v>
      </c>
      <c r="G2750" s="363" t="s">
        <v>67</v>
      </c>
      <c r="H2750" s="214" t="s">
        <v>1862</v>
      </c>
      <c r="I2750" s="356"/>
      <c r="J2750" s="359"/>
      <c r="K2750" s="356"/>
    </row>
    <row r="2751" spans="6:12" ht="24" customHeight="1">
      <c r="F2751" s="356"/>
      <c r="G2751" s="357"/>
      <c r="H2751" s="214" t="s">
        <v>1863</v>
      </c>
      <c r="I2751" s="356"/>
      <c r="J2751" s="359"/>
      <c r="K2751" s="356"/>
    </row>
    <row r="2752" spans="6:12" ht="24" customHeight="1">
      <c r="F2752" s="356"/>
      <c r="G2752" s="357"/>
      <c r="H2752" s="214" t="s">
        <v>1865</v>
      </c>
      <c r="I2752" s="356"/>
      <c r="J2752" s="359"/>
      <c r="K2752" s="356"/>
    </row>
    <row r="2753" spans="5:25" ht="24" customHeight="1">
      <c r="F2753" s="356"/>
      <c r="G2753" s="357"/>
      <c r="H2753" s="214" t="s">
        <v>1867</v>
      </c>
      <c r="I2753" s="356"/>
      <c r="J2753" s="359"/>
      <c r="K2753" s="356"/>
    </row>
    <row r="2754" spans="5:25" ht="24" customHeight="1">
      <c r="F2754" s="356"/>
      <c r="G2754" s="357"/>
      <c r="H2754" s="214" t="s">
        <v>1868</v>
      </c>
      <c r="I2754" s="356"/>
      <c r="J2754" s="359"/>
      <c r="K2754" s="356"/>
    </row>
    <row r="2755" spans="5:25" ht="24" customHeight="1">
      <c r="E2755" s="28">
        <f>6*0.3</f>
        <v>1.7999999999999998</v>
      </c>
      <c r="F2755" s="356"/>
      <c r="G2755" s="357"/>
      <c r="H2755" s="214" t="s">
        <v>2344</v>
      </c>
      <c r="I2755" s="356"/>
      <c r="J2755" s="359"/>
      <c r="K2755" s="356"/>
    </row>
    <row r="2756" spans="5:25" ht="24" customHeight="1">
      <c r="E2756" s="28">
        <f>3.5+E2755</f>
        <v>5.3</v>
      </c>
      <c r="F2756" s="356"/>
      <c r="G2756" s="357"/>
      <c r="H2756" s="214" t="s">
        <v>1870</v>
      </c>
      <c r="I2756" s="356"/>
      <c r="J2756" s="359"/>
      <c r="K2756" s="356"/>
      <c r="L2756" s="28">
        <f>K2790</f>
        <v>251.29999999999998</v>
      </c>
    </row>
    <row r="2757" spans="5:25" ht="24" customHeight="1">
      <c r="E2757" s="28">
        <f>3.14*0.3*0.3</f>
        <v>0.28259999999999996</v>
      </c>
      <c r="F2757" s="356"/>
      <c r="G2757" s="357"/>
      <c r="H2757" s="214" t="s">
        <v>1871</v>
      </c>
      <c r="I2757" s="356"/>
      <c r="J2757" s="359"/>
      <c r="K2757" s="356"/>
      <c r="L2757" s="28">
        <f>K2791</f>
        <v>2459.7999999999997</v>
      </c>
    </row>
    <row r="2758" spans="5:25" ht="24" customHeight="1">
      <c r="F2758" s="356"/>
      <c r="G2758" s="357"/>
      <c r="H2758" s="364" t="s">
        <v>41</v>
      </c>
      <c r="I2758" s="364" t="s">
        <v>41</v>
      </c>
      <c r="J2758" s="359"/>
      <c r="K2758" s="356"/>
    </row>
    <row r="2759" spans="5:25" ht="24" customHeight="1">
      <c r="E2759" s="28">
        <f>E2757/4</f>
        <v>7.0649999999999991E-2</v>
      </c>
      <c r="F2759" s="356"/>
      <c r="G2759" s="363" t="s">
        <v>67</v>
      </c>
      <c r="H2759" s="214" t="s">
        <v>1872</v>
      </c>
      <c r="I2759" s="356"/>
      <c r="J2759" s="359"/>
      <c r="K2759" s="356"/>
      <c r="L2759" s="28">
        <f>SUM(L2756:L2757)</f>
        <v>2711.1</v>
      </c>
    </row>
    <row r="2760" spans="5:25" ht="24" customHeight="1">
      <c r="E2760" s="127">
        <f>E2759*E2756</f>
        <v>0.37444499999999992</v>
      </c>
      <c r="F2760" s="356"/>
      <c r="G2760" s="357"/>
      <c r="H2760" s="214" t="s">
        <v>1873</v>
      </c>
      <c r="I2760" s="356"/>
      <c r="J2760" s="359"/>
      <c r="K2760" s="356"/>
    </row>
    <row r="2761" spans="5:25" ht="24" customHeight="1">
      <c r="F2761" s="356"/>
      <c r="G2761" s="363" t="s">
        <v>1098</v>
      </c>
      <c r="H2761" s="214" t="s">
        <v>1874</v>
      </c>
      <c r="I2761" s="356"/>
      <c r="J2761" s="359"/>
      <c r="K2761" s="356"/>
    </row>
    <row r="2762" spans="5:25" ht="24" customHeight="1">
      <c r="F2762" s="356"/>
      <c r="G2762" s="357"/>
      <c r="H2762" s="364" t="s">
        <v>48</v>
      </c>
      <c r="I2762" s="356"/>
      <c r="J2762" s="359"/>
      <c r="K2762" s="356"/>
    </row>
    <row r="2763" spans="5:25" ht="24" customHeight="1">
      <c r="F2763" s="212">
        <v>1</v>
      </c>
      <c r="G2763" s="363" t="s">
        <v>1125</v>
      </c>
      <c r="H2763" s="214" t="s">
        <v>1875</v>
      </c>
      <c r="I2763" s="212">
        <f>I1870</f>
        <v>26</v>
      </c>
      <c r="J2763" s="215" t="s">
        <v>1125</v>
      </c>
      <c r="K2763" s="212">
        <f>(F2763*I2763)</f>
        <v>26</v>
      </c>
    </row>
    <row r="2764" spans="5:25" ht="24" customHeight="1">
      <c r="F2764" s="212">
        <v>1</v>
      </c>
      <c r="G2764" s="363" t="s">
        <v>106</v>
      </c>
      <c r="H2764" s="214" t="s">
        <v>1876</v>
      </c>
      <c r="I2764" s="212">
        <f>I2763*0.7</f>
        <v>18.2</v>
      </c>
      <c r="J2764" s="215" t="s">
        <v>106</v>
      </c>
      <c r="K2764" s="212">
        <f>(F2764*I2764)</f>
        <v>18.2</v>
      </c>
    </row>
    <row r="2765" spans="5:25" ht="24" customHeight="1">
      <c r="F2765" s="212">
        <v>1</v>
      </c>
      <c r="G2765" s="363" t="s">
        <v>1125</v>
      </c>
      <c r="H2765" s="214" t="s">
        <v>1877</v>
      </c>
      <c r="I2765" s="212">
        <f>K2747</f>
        <v>196.50166666666667</v>
      </c>
      <c r="J2765" s="215" t="s">
        <v>1125</v>
      </c>
      <c r="K2765" s="212">
        <f>(F2765*I2765)</f>
        <v>196.50166666666667</v>
      </c>
    </row>
    <row r="2766" spans="5:25" ht="24" customHeight="1">
      <c r="F2766" s="356"/>
      <c r="G2766" s="357"/>
      <c r="H2766" s="356"/>
      <c r="I2766" s="214" t="s">
        <v>27</v>
      </c>
      <c r="J2766" s="359"/>
      <c r="K2766" s="364"/>
    </row>
    <row r="2767" spans="5:25" ht="24" customHeight="1">
      <c r="F2767" s="356"/>
      <c r="G2767" s="357"/>
      <c r="H2767" s="370" t="s">
        <v>1878</v>
      </c>
      <c r="I2767" s="362"/>
      <c r="J2767" s="366"/>
      <c r="K2767" s="371">
        <f>SUM(K2763:K2765)</f>
        <v>240.70166666666665</v>
      </c>
      <c r="S2767" s="375"/>
      <c r="T2767" s="357"/>
      <c r="U2767" s="356"/>
      <c r="V2767" s="356"/>
      <c r="W2767" s="359"/>
      <c r="X2767" s="356"/>
      <c r="Y2767" s="356"/>
    </row>
    <row r="2768" spans="5:25" ht="24" customHeight="1">
      <c r="F2768" s="356"/>
      <c r="G2768" s="357"/>
      <c r="H2768" s="214" t="s">
        <v>27</v>
      </c>
      <c r="I2768" s="214" t="s">
        <v>27</v>
      </c>
      <c r="J2768" s="359"/>
      <c r="K2768" s="364" t="s">
        <v>41</v>
      </c>
      <c r="S2768" s="376" t="s">
        <v>1309</v>
      </c>
      <c r="T2768" s="363" t="s">
        <v>67</v>
      </c>
      <c r="U2768" s="214" t="s">
        <v>2345</v>
      </c>
      <c r="V2768" s="356"/>
      <c r="W2768" s="359"/>
      <c r="X2768" s="356"/>
      <c r="Y2768" s="356"/>
    </row>
    <row r="2769" spans="6:31" ht="24" customHeight="1">
      <c r="F2769" s="356"/>
      <c r="G2769" s="356"/>
      <c r="H2769" s="356"/>
      <c r="I2769" s="356"/>
      <c r="J2769" s="356"/>
      <c r="K2769" s="356"/>
      <c r="S2769" s="375"/>
      <c r="T2769" s="357"/>
      <c r="U2769" s="214" t="s">
        <v>1311</v>
      </c>
      <c r="V2769" s="356"/>
      <c r="W2769" s="359"/>
      <c r="X2769" s="356"/>
      <c r="Y2769" s="356"/>
    </row>
    <row r="2770" spans="6:31" ht="24" customHeight="1">
      <c r="F2770" s="377"/>
      <c r="G2770" s="378"/>
      <c r="H2770" s="378"/>
      <c r="I2770" s="378"/>
      <c r="J2770" s="378"/>
      <c r="K2770" s="378"/>
      <c r="S2770" s="375"/>
      <c r="T2770" s="357"/>
      <c r="U2770" s="214" t="s">
        <v>1312</v>
      </c>
      <c r="V2770" s="356"/>
      <c r="W2770" s="359"/>
      <c r="X2770" s="356"/>
      <c r="Y2770" s="356"/>
    </row>
    <row r="2771" spans="6:31" ht="24" customHeight="1">
      <c r="F2771" s="379"/>
      <c r="G2771" s="380" t="s">
        <v>2346</v>
      </c>
      <c r="H2771" s="381"/>
      <c r="I2771" s="381"/>
      <c r="J2771" s="382"/>
      <c r="K2771" s="381"/>
      <c r="S2771" s="375"/>
      <c r="T2771" s="357"/>
      <c r="U2771" s="364" t="s">
        <v>48</v>
      </c>
      <c r="V2771" s="356"/>
      <c r="W2771" s="359"/>
      <c r="X2771" s="356"/>
      <c r="Y2771" s="356"/>
    </row>
    <row r="2772" spans="6:31" ht="24" customHeight="1">
      <c r="F2772" s="383"/>
      <c r="G2772" s="384"/>
      <c r="H2772" s="381"/>
      <c r="I2772" s="381"/>
      <c r="J2772" s="382"/>
      <c r="K2772" s="381"/>
      <c r="S2772" s="375"/>
      <c r="T2772" s="357"/>
      <c r="U2772" s="214" t="s">
        <v>2347</v>
      </c>
      <c r="V2772" s="356"/>
      <c r="W2772" s="359"/>
      <c r="X2772" s="356"/>
      <c r="Y2772" s="356"/>
    </row>
    <row r="2773" spans="6:31" ht="24" customHeight="1">
      <c r="F2773" s="383">
        <v>5</v>
      </c>
      <c r="G2773" s="384" t="s">
        <v>2348</v>
      </c>
      <c r="H2773" s="385" t="s">
        <v>2349</v>
      </c>
      <c r="I2773" s="386">
        <v>160</v>
      </c>
      <c r="J2773" s="382" t="s">
        <v>2350</v>
      </c>
      <c r="K2773" s="381">
        <f>I2773*F2773</f>
        <v>800</v>
      </c>
      <c r="S2773" s="375"/>
      <c r="T2773" s="357"/>
      <c r="U2773" s="214" t="s">
        <v>2351</v>
      </c>
      <c r="V2773" s="356"/>
      <c r="W2773" s="359"/>
      <c r="X2773" s="356"/>
      <c r="Y2773" s="356"/>
    </row>
    <row r="2774" spans="6:31" ht="24" customHeight="1">
      <c r="F2774" s="383">
        <v>1</v>
      </c>
      <c r="G2774" s="384" t="s">
        <v>1130</v>
      </c>
      <c r="H2774" s="381" t="s">
        <v>2352</v>
      </c>
      <c r="I2774" s="381">
        <v>75</v>
      </c>
      <c r="J2774" s="382" t="s">
        <v>793</v>
      </c>
      <c r="K2774" s="381">
        <f>I2774*F2774</f>
        <v>75</v>
      </c>
      <c r="S2774" s="375"/>
      <c r="T2774" s="357"/>
      <c r="U2774" s="356"/>
      <c r="V2774" s="356"/>
      <c r="W2774" s="215" t="s">
        <v>48</v>
      </c>
      <c r="X2774" s="356"/>
      <c r="Y2774" s="356"/>
    </row>
    <row r="2775" spans="6:31" ht="24" customHeight="1">
      <c r="F2775" s="383">
        <v>2.5</v>
      </c>
      <c r="G2775" s="384" t="s">
        <v>1130</v>
      </c>
      <c r="H2775" s="381" t="s">
        <v>2353</v>
      </c>
      <c r="I2775" s="381">
        <f>C14</f>
        <v>861</v>
      </c>
      <c r="J2775" s="382" t="s">
        <v>1130</v>
      </c>
      <c r="K2775" s="381">
        <f>I2775*F2775</f>
        <v>2152.5</v>
      </c>
      <c r="S2775" s="375"/>
      <c r="T2775" s="357"/>
      <c r="U2775" s="214" t="s">
        <v>2354</v>
      </c>
      <c r="V2775" s="356"/>
      <c r="W2775" s="359"/>
      <c r="X2775" s="356"/>
      <c r="Y2775" s="356"/>
    </row>
    <row r="2776" spans="6:31" ht="24" customHeight="1">
      <c r="F2776" s="383"/>
      <c r="G2776" s="384"/>
      <c r="H2776" s="381" t="s">
        <v>1236</v>
      </c>
      <c r="I2776" s="387" t="s">
        <v>106</v>
      </c>
      <c r="J2776" s="382"/>
      <c r="K2776" s="381">
        <v>0.25</v>
      </c>
      <c r="S2776" s="375"/>
      <c r="T2776" s="357"/>
      <c r="U2776" s="214" t="s">
        <v>2355</v>
      </c>
      <c r="V2776" s="356"/>
      <c r="W2776" s="359"/>
      <c r="X2776" s="388">
        <v>2.7099999999999999E-2</v>
      </c>
      <c r="Y2776" s="388"/>
    </row>
    <row r="2777" spans="6:31" ht="24" customHeight="1">
      <c r="F2777" s="383"/>
      <c r="G2777" s="384"/>
      <c r="H2777" s="381"/>
      <c r="I2777" s="381"/>
      <c r="J2777" s="382"/>
      <c r="K2777" s="389" t="s">
        <v>41</v>
      </c>
      <c r="S2777" s="375"/>
      <c r="T2777" s="357"/>
      <c r="U2777" s="356"/>
      <c r="V2777" s="356"/>
      <c r="W2777" s="215" t="s">
        <v>27</v>
      </c>
      <c r="X2777" s="364" t="s">
        <v>48</v>
      </c>
      <c r="Y2777" s="364"/>
      <c r="Z2777" s="390">
        <f>SUM(X2778:X2779)</f>
        <v>1.6420000000000001E-2</v>
      </c>
    </row>
    <row r="2778" spans="6:31" ht="24" customHeight="1">
      <c r="F2778" s="383"/>
      <c r="G2778" s="384"/>
      <c r="H2778" s="381"/>
      <c r="I2778" s="381" t="s">
        <v>2356</v>
      </c>
      <c r="J2778" s="382" t="s">
        <v>41</v>
      </c>
      <c r="K2778" s="391">
        <f>SUM(K2773:K2777)</f>
        <v>3027.75</v>
      </c>
      <c r="L2778" s="390">
        <f>K2811+K2810</f>
        <v>1.6420000000000001E-2</v>
      </c>
      <c r="S2778" s="375"/>
      <c r="T2778" s="357"/>
      <c r="U2778" s="214" t="s">
        <v>2357</v>
      </c>
      <c r="V2778" s="356"/>
      <c r="W2778" s="392" t="s">
        <v>27</v>
      </c>
      <c r="X2778" s="388">
        <v>1.2840000000000001E-2</v>
      </c>
      <c r="Y2778" s="388"/>
    </row>
    <row r="2779" spans="6:31" ht="24" customHeight="1">
      <c r="F2779" s="393"/>
      <c r="G2779" s="394"/>
      <c r="H2779" s="395"/>
      <c r="I2779" s="395"/>
      <c r="J2779" s="396"/>
      <c r="K2779" s="397" t="s">
        <v>41</v>
      </c>
      <c r="S2779" s="375"/>
      <c r="T2779" s="357"/>
      <c r="U2779" s="214" t="s">
        <v>2358</v>
      </c>
      <c r="V2779" s="356"/>
      <c r="W2779" s="215" t="s">
        <v>27</v>
      </c>
      <c r="X2779" s="388">
        <v>3.5799999999999998E-3</v>
      </c>
      <c r="Y2779" s="388"/>
    </row>
    <row r="2780" spans="6:31" ht="24" customHeight="1">
      <c r="F2780" s="356"/>
      <c r="G2780" s="357"/>
      <c r="H2780" s="356"/>
      <c r="I2780" s="356"/>
      <c r="J2780" s="359"/>
      <c r="K2780" s="356"/>
      <c r="S2780" s="375"/>
      <c r="T2780" s="357"/>
      <c r="U2780" s="356"/>
      <c r="V2780" s="356"/>
      <c r="W2780" s="359"/>
      <c r="X2780" s="364" t="s">
        <v>48</v>
      </c>
      <c r="Y2780" s="364"/>
    </row>
    <row r="2781" spans="6:31" ht="24" customHeight="1">
      <c r="F2781" s="356" t="s">
        <v>2359</v>
      </c>
      <c r="G2781" s="357"/>
      <c r="H2781" s="356"/>
      <c r="I2781" s="356"/>
      <c r="J2781" s="359"/>
      <c r="K2781" s="356"/>
      <c r="S2781" s="398">
        <f>F2813</f>
        <v>1.898E-2</v>
      </c>
      <c r="T2781" s="363" t="s">
        <v>93</v>
      </c>
      <c r="U2781" s="214" t="s">
        <v>2360</v>
      </c>
      <c r="V2781" s="212">
        <f>C86</f>
        <v>34300</v>
      </c>
      <c r="W2781" s="215" t="s">
        <v>93</v>
      </c>
      <c r="X2781" s="212">
        <f>(S2781*V2781)</f>
        <v>651.01400000000001</v>
      </c>
      <c r="Y2781" s="212"/>
    </row>
    <row r="2782" spans="6:31" ht="24" customHeight="1">
      <c r="F2782" s="356"/>
      <c r="G2782" s="357"/>
      <c r="H2782" s="356"/>
      <c r="I2782" s="356"/>
      <c r="J2782" s="359"/>
      <c r="K2782" s="356"/>
      <c r="S2782" s="398">
        <f t="shared" ref="S2782:S2792" si="250">F2814</f>
        <v>2.7099999999999999E-2</v>
      </c>
      <c r="T2782" s="363" t="s">
        <v>93</v>
      </c>
      <c r="U2782" s="214" t="s">
        <v>2360</v>
      </c>
      <c r="V2782" s="212">
        <f>V2781</f>
        <v>34300</v>
      </c>
      <c r="W2782" s="215" t="s">
        <v>93</v>
      </c>
      <c r="X2782" s="212">
        <f t="shared" ref="X2782:X2792" si="251">(S2782*V2782)</f>
        <v>929.53</v>
      </c>
      <c r="Y2782" s="212"/>
    </row>
    <row r="2783" spans="6:31" ht="24" customHeight="1">
      <c r="F2783" s="356" t="s">
        <v>2361</v>
      </c>
      <c r="G2783" s="357"/>
      <c r="H2783" s="356"/>
      <c r="I2783" s="356"/>
      <c r="J2783" s="359"/>
      <c r="K2783" s="356"/>
      <c r="S2783" s="398">
        <f t="shared" si="250"/>
        <v>1.6420000000000001E-2</v>
      </c>
      <c r="T2783" s="363" t="s">
        <v>93</v>
      </c>
      <c r="U2783" s="214" t="s">
        <v>2362</v>
      </c>
      <c r="V2783" s="212">
        <f>C87</f>
        <v>39400</v>
      </c>
      <c r="W2783" s="215" t="s">
        <v>93</v>
      </c>
      <c r="X2783" s="212">
        <f t="shared" si="251"/>
        <v>646.94799999999998</v>
      </c>
      <c r="Y2783" s="212"/>
      <c r="AE2783" s="41" t="s">
        <v>2363</v>
      </c>
    </row>
    <row r="2784" spans="6:31" ht="24" customHeight="1">
      <c r="F2784" s="356"/>
      <c r="G2784" s="357"/>
      <c r="H2784" s="356"/>
      <c r="I2784" s="356"/>
      <c r="J2784" s="359"/>
      <c r="K2784" s="356"/>
      <c r="S2784" s="398"/>
      <c r="T2784" s="357"/>
      <c r="U2784" s="214"/>
      <c r="V2784" s="212">
        <f>V958</f>
        <v>0</v>
      </c>
      <c r="W2784" s="359"/>
      <c r="X2784" s="212">
        <f t="shared" si="251"/>
        <v>0</v>
      </c>
      <c r="Y2784" s="212"/>
      <c r="AE2784" s="41" t="s">
        <v>2364</v>
      </c>
    </row>
    <row r="2785" spans="6:35" ht="24" customHeight="1">
      <c r="F2785" s="356"/>
      <c r="G2785" s="399">
        <v>0.745</v>
      </c>
      <c r="H2785" s="356" t="s">
        <v>249</v>
      </c>
      <c r="I2785" s="356"/>
      <c r="J2785" s="359"/>
      <c r="K2785" s="356"/>
      <c r="S2785" s="398">
        <f t="shared" si="250"/>
        <v>1.8225</v>
      </c>
      <c r="T2785" s="363" t="s">
        <v>438</v>
      </c>
      <c r="U2785" s="214" t="s">
        <v>1324</v>
      </c>
      <c r="V2785" s="212">
        <f>I2817</f>
        <v>1617</v>
      </c>
      <c r="W2785" s="215" t="s">
        <v>438</v>
      </c>
      <c r="X2785" s="212">
        <f t="shared" si="251"/>
        <v>2946.9825000000001</v>
      </c>
      <c r="Y2785" s="212"/>
    </row>
    <row r="2786" spans="6:35" ht="24" customHeight="1">
      <c r="F2786" s="356"/>
      <c r="G2786" s="357"/>
      <c r="H2786" s="356"/>
      <c r="I2786" s="356"/>
      <c r="J2786" s="359"/>
      <c r="K2786" s="356"/>
      <c r="S2786" s="398">
        <f t="shared" si="250"/>
        <v>2</v>
      </c>
      <c r="T2786" s="363" t="s">
        <v>196</v>
      </c>
      <c r="U2786" s="214" t="s">
        <v>1325</v>
      </c>
      <c r="V2786" s="212">
        <f t="shared" ref="V2786:V2791" si="252">I2818</f>
        <v>120</v>
      </c>
      <c r="W2786" s="215" t="s">
        <v>105</v>
      </c>
      <c r="X2786" s="212">
        <f t="shared" si="251"/>
        <v>240</v>
      </c>
      <c r="Y2786" s="212"/>
      <c r="AD2786" s="400">
        <v>2.6159999999999999E-2</v>
      </c>
      <c r="AE2786" s="101" t="s">
        <v>93</v>
      </c>
      <c r="AF2786" s="41" t="s">
        <v>1415</v>
      </c>
      <c r="AG2786" s="41">
        <f>I2813</f>
        <v>111600</v>
      </c>
      <c r="AH2786" s="86" t="s">
        <v>93</v>
      </c>
      <c r="AI2786" s="41">
        <f>AG2786*AD2786</f>
        <v>2919.4560000000001</v>
      </c>
    </row>
    <row r="2787" spans="6:35" ht="24" customHeight="1">
      <c r="F2787" s="362" t="s">
        <v>2365</v>
      </c>
      <c r="G2787" s="357"/>
      <c r="H2787" s="356"/>
      <c r="I2787" s="356"/>
      <c r="J2787" s="359"/>
      <c r="K2787" s="356"/>
      <c r="S2787" s="398">
        <f t="shared" si="250"/>
        <v>3</v>
      </c>
      <c r="T2787" s="363" t="s">
        <v>105</v>
      </c>
      <c r="U2787" s="214" t="s">
        <v>1326</v>
      </c>
      <c r="V2787" s="212">
        <f t="shared" si="252"/>
        <v>110.17</v>
      </c>
      <c r="W2787" s="215" t="s">
        <v>105</v>
      </c>
      <c r="X2787" s="212">
        <f t="shared" si="251"/>
        <v>330.51</v>
      </c>
      <c r="Y2787" s="212"/>
      <c r="AD2787" s="400">
        <v>4.7809999999999998E-2</v>
      </c>
      <c r="AE2787" s="101" t="s">
        <v>93</v>
      </c>
      <c r="AF2787" s="41" t="s">
        <v>1416</v>
      </c>
      <c r="AG2787" s="41">
        <f>I2814</f>
        <v>99400</v>
      </c>
      <c r="AH2787" s="86" t="s">
        <v>93</v>
      </c>
      <c r="AI2787" s="41">
        <f t="shared" ref="AI2787:AI2796" si="253">AG2787*AD2787</f>
        <v>4752.3139999999994</v>
      </c>
    </row>
    <row r="2788" spans="6:35" ht="24" customHeight="1">
      <c r="F2788" s="356"/>
      <c r="G2788" s="357"/>
      <c r="H2788" s="356"/>
      <c r="I2788" s="356"/>
      <c r="J2788" s="359"/>
      <c r="K2788" s="356"/>
      <c r="S2788" s="398">
        <f t="shared" si="250"/>
        <v>2</v>
      </c>
      <c r="T2788" s="363" t="s">
        <v>105</v>
      </c>
      <c r="U2788" s="214" t="s">
        <v>1328</v>
      </c>
      <c r="V2788" s="212">
        <f t="shared" si="252"/>
        <v>160</v>
      </c>
      <c r="W2788" s="215" t="s">
        <v>105</v>
      </c>
      <c r="X2788" s="212">
        <f t="shared" si="251"/>
        <v>320</v>
      </c>
      <c r="Y2788" s="212"/>
      <c r="AD2788" s="401">
        <v>4.5879999999999997E-2</v>
      </c>
      <c r="AE2788" s="101" t="s">
        <v>93</v>
      </c>
      <c r="AF2788" s="41" t="s">
        <v>2366</v>
      </c>
      <c r="AG2788" s="41">
        <v>116700</v>
      </c>
      <c r="AH2788" s="86" t="s">
        <v>93</v>
      </c>
      <c r="AI2788" s="41">
        <f t="shared" si="253"/>
        <v>5354.1959999999999</v>
      </c>
    </row>
    <row r="2789" spans="6:35" ht="24" customHeight="1">
      <c r="F2789" s="375">
        <v>0.37</v>
      </c>
      <c r="G2789" s="357" t="s">
        <v>249</v>
      </c>
      <c r="H2789" s="356" t="s">
        <v>2367</v>
      </c>
      <c r="I2789" s="356">
        <f>I2992</f>
        <v>10252.547999999999</v>
      </c>
      <c r="J2789" s="360" t="s">
        <v>249</v>
      </c>
      <c r="K2789" s="356">
        <f>F2789*I2789</f>
        <v>3793.4427599999995</v>
      </c>
      <c r="S2789" s="398">
        <f t="shared" si="250"/>
        <v>1</v>
      </c>
      <c r="T2789" s="363" t="s">
        <v>105</v>
      </c>
      <c r="U2789" s="214" t="s">
        <v>1330</v>
      </c>
      <c r="V2789" s="212">
        <f t="shared" si="252"/>
        <v>550</v>
      </c>
      <c r="W2789" s="215" t="s">
        <v>105</v>
      </c>
      <c r="X2789" s="212">
        <f t="shared" si="251"/>
        <v>550</v>
      </c>
      <c r="Y2789" s="212"/>
      <c r="AD2789" s="401">
        <v>3.95</v>
      </c>
      <c r="AE2789" s="101" t="s">
        <v>438</v>
      </c>
      <c r="AF2789" s="41" t="s">
        <v>1418</v>
      </c>
      <c r="AG2789" s="41">
        <f>I2817</f>
        <v>1617</v>
      </c>
      <c r="AH2789" s="86" t="s">
        <v>438</v>
      </c>
      <c r="AI2789" s="41">
        <f t="shared" si="253"/>
        <v>6387.1500000000005</v>
      </c>
    </row>
    <row r="2790" spans="6:35" ht="24" customHeight="1">
      <c r="F2790" s="356">
        <v>0.25</v>
      </c>
      <c r="G2790" s="357" t="s">
        <v>1130</v>
      </c>
      <c r="H2790" s="356" t="s">
        <v>970</v>
      </c>
      <c r="I2790" s="356">
        <f>C11</f>
        <v>1005.1999999999999</v>
      </c>
      <c r="J2790" s="360" t="s">
        <v>793</v>
      </c>
      <c r="K2790" s="356">
        <f>F2790*I2790</f>
        <v>251.29999999999998</v>
      </c>
      <c r="S2790" s="398">
        <f t="shared" si="250"/>
        <v>1</v>
      </c>
      <c r="T2790" s="363" t="s">
        <v>105</v>
      </c>
      <c r="U2790" s="214" t="s">
        <v>1332</v>
      </c>
      <c r="V2790" s="212">
        <f t="shared" si="252"/>
        <v>7.3</v>
      </c>
      <c r="W2790" s="215" t="s">
        <v>105</v>
      </c>
      <c r="X2790" s="212">
        <f t="shared" si="251"/>
        <v>7.3</v>
      </c>
      <c r="Y2790" s="212"/>
      <c r="AD2790" s="41">
        <v>2</v>
      </c>
      <c r="AE2790" s="101" t="s">
        <v>1420</v>
      </c>
      <c r="AF2790" s="41" t="s">
        <v>1421</v>
      </c>
      <c r="AG2790" s="41">
        <f t="shared" ref="AG2790:AG2795" si="254">I2818</f>
        <v>120</v>
      </c>
      <c r="AH2790" s="86" t="s">
        <v>793</v>
      </c>
      <c r="AI2790" s="41">
        <f t="shared" si="253"/>
        <v>240</v>
      </c>
    </row>
    <row r="2791" spans="6:35" ht="24" customHeight="1">
      <c r="F2791" s="356">
        <v>3.5</v>
      </c>
      <c r="G2791" s="357" t="s">
        <v>969</v>
      </c>
      <c r="H2791" s="356" t="s">
        <v>1450</v>
      </c>
      <c r="I2791" s="356">
        <f>C12</f>
        <v>702.8</v>
      </c>
      <c r="J2791" s="360" t="s">
        <v>793</v>
      </c>
      <c r="K2791" s="356">
        <f>F2791*I2791</f>
        <v>2459.7999999999997</v>
      </c>
      <c r="S2791" s="398">
        <f t="shared" si="250"/>
        <v>1</v>
      </c>
      <c r="T2791" s="363" t="s">
        <v>105</v>
      </c>
      <c r="U2791" s="214" t="s">
        <v>463</v>
      </c>
      <c r="V2791" s="212">
        <f t="shared" si="252"/>
        <v>43.8</v>
      </c>
      <c r="W2791" s="215" t="s">
        <v>105</v>
      </c>
      <c r="X2791" s="212">
        <f t="shared" si="251"/>
        <v>43.8</v>
      </c>
      <c r="Y2791" s="212"/>
      <c r="AD2791" s="41">
        <v>6</v>
      </c>
      <c r="AE2791" s="101" t="s">
        <v>1420</v>
      </c>
      <c r="AF2791" s="41" t="s">
        <v>1422</v>
      </c>
      <c r="AG2791" s="41">
        <f t="shared" si="254"/>
        <v>110.17</v>
      </c>
      <c r="AH2791" s="86" t="s">
        <v>793</v>
      </c>
      <c r="AI2791" s="41">
        <f t="shared" si="253"/>
        <v>661.02</v>
      </c>
    </row>
    <row r="2792" spans="6:35" ht="24" customHeight="1">
      <c r="F2792" s="356">
        <v>12</v>
      </c>
      <c r="G2792" s="357" t="s">
        <v>488</v>
      </c>
      <c r="H2792" s="356" t="s">
        <v>2368</v>
      </c>
      <c r="I2792" s="356"/>
      <c r="J2792" s="360" t="s">
        <v>488</v>
      </c>
      <c r="K2792" s="356">
        <f>I2792*F2792</f>
        <v>0</v>
      </c>
      <c r="S2792" s="375">
        <f t="shared" si="250"/>
        <v>64</v>
      </c>
      <c r="T2792" s="357"/>
      <c r="U2792" s="356" t="s">
        <v>2369</v>
      </c>
      <c r="V2792" s="356">
        <f>P2831</f>
        <v>2.37</v>
      </c>
      <c r="W2792" s="359"/>
      <c r="X2792" s="212">
        <f t="shared" si="251"/>
        <v>151.68</v>
      </c>
      <c r="Y2792" s="212"/>
      <c r="AD2792" s="41">
        <v>4</v>
      </c>
      <c r="AE2792" s="101" t="s">
        <v>1420</v>
      </c>
      <c r="AF2792" s="41" t="s">
        <v>1423</v>
      </c>
      <c r="AG2792" s="41">
        <f t="shared" si="254"/>
        <v>160</v>
      </c>
      <c r="AH2792" s="86" t="s">
        <v>793</v>
      </c>
      <c r="AI2792" s="41">
        <f t="shared" si="253"/>
        <v>640</v>
      </c>
    </row>
    <row r="2793" spans="6:35" ht="24" customHeight="1">
      <c r="F2793" s="356"/>
      <c r="G2793" s="356" t="s">
        <v>2370</v>
      </c>
      <c r="H2793" s="356" t="s">
        <v>2371</v>
      </c>
      <c r="I2793" s="356"/>
      <c r="J2793" s="360" t="s">
        <v>2200</v>
      </c>
      <c r="K2793" s="356">
        <f>L2759*10%</f>
        <v>271.11</v>
      </c>
      <c r="S2793" s="375"/>
      <c r="T2793" s="357"/>
      <c r="U2793" s="214" t="s">
        <v>2372</v>
      </c>
      <c r="V2793" s="356"/>
      <c r="W2793" s="359"/>
      <c r="X2793" s="212">
        <f>SUM(X2781:X2792)</f>
        <v>6817.7645000000011</v>
      </c>
      <c r="Y2793" s="212"/>
      <c r="AD2793" s="41">
        <v>1</v>
      </c>
      <c r="AE2793" s="101" t="s">
        <v>1420</v>
      </c>
      <c r="AF2793" s="41" t="s">
        <v>1425</v>
      </c>
      <c r="AG2793" s="41">
        <f t="shared" si="254"/>
        <v>550</v>
      </c>
      <c r="AH2793" s="86" t="s">
        <v>793</v>
      </c>
      <c r="AI2793" s="41">
        <f t="shared" si="253"/>
        <v>550</v>
      </c>
    </row>
    <row r="2794" spans="6:35" ht="24" customHeight="1">
      <c r="F2794" s="356"/>
      <c r="G2794" s="357"/>
      <c r="H2794" s="356"/>
      <c r="I2794" s="356"/>
      <c r="J2794" s="359"/>
      <c r="K2794" s="356" t="s">
        <v>2373</v>
      </c>
      <c r="S2794" s="375"/>
      <c r="T2794" s="357"/>
      <c r="U2794" s="356"/>
      <c r="V2794" s="356"/>
      <c r="W2794" s="359"/>
      <c r="X2794" s="364" t="s">
        <v>48</v>
      </c>
      <c r="Y2794" s="364"/>
      <c r="AD2794" s="41">
        <v>2</v>
      </c>
      <c r="AE2794" s="101" t="s">
        <v>1420</v>
      </c>
      <c r="AF2794" s="41" t="s">
        <v>461</v>
      </c>
      <c r="AG2794" s="41">
        <f t="shared" si="254"/>
        <v>7.3</v>
      </c>
      <c r="AH2794" s="86" t="s">
        <v>793</v>
      </c>
      <c r="AI2794" s="41">
        <f t="shared" si="253"/>
        <v>14.6</v>
      </c>
    </row>
    <row r="2795" spans="6:35" ht="24" customHeight="1">
      <c r="F2795" s="356"/>
      <c r="G2795" s="357"/>
      <c r="H2795" s="356"/>
      <c r="I2795" s="356"/>
      <c r="J2795" s="359"/>
      <c r="K2795" s="356"/>
      <c r="S2795" s="375"/>
      <c r="T2795" s="357"/>
      <c r="U2795" s="214" t="s">
        <v>403</v>
      </c>
      <c r="V2795" s="356"/>
      <c r="W2795" s="359"/>
      <c r="X2795" s="212">
        <f>X2793/1.8225</f>
        <v>3740.8858710562422</v>
      </c>
      <c r="Y2795" s="212"/>
      <c r="AD2795" s="41">
        <v>2</v>
      </c>
      <c r="AE2795" s="101" t="s">
        <v>1420</v>
      </c>
      <c r="AF2795" s="41" t="s">
        <v>463</v>
      </c>
      <c r="AG2795" s="41">
        <f t="shared" si="254"/>
        <v>43.8</v>
      </c>
      <c r="AH2795" s="86" t="s">
        <v>793</v>
      </c>
      <c r="AI2795" s="41">
        <f t="shared" si="253"/>
        <v>87.6</v>
      </c>
    </row>
    <row r="2796" spans="6:35" ht="24" customHeight="1">
      <c r="F2796" s="356"/>
      <c r="G2796" s="357"/>
      <c r="H2796" s="356"/>
      <c r="I2796" s="356" t="s">
        <v>2374</v>
      </c>
      <c r="J2796" s="359"/>
      <c r="K2796" s="356">
        <f>SUM(K2789:K2793)</f>
        <v>6775.652759999999</v>
      </c>
      <c r="S2796" s="375"/>
      <c r="T2796" s="357"/>
      <c r="U2796" s="356"/>
      <c r="V2796" s="356"/>
      <c r="W2796" s="359"/>
      <c r="X2796" s="356"/>
      <c r="Y2796" s="356"/>
      <c r="AD2796" s="41">
        <v>10</v>
      </c>
      <c r="AE2796" s="101"/>
      <c r="AF2796" s="41" t="s">
        <v>1353</v>
      </c>
      <c r="AG2796" s="41">
        <f>V2792</f>
        <v>2.37</v>
      </c>
      <c r="AH2796" s="86"/>
      <c r="AI2796" s="41">
        <f t="shared" si="253"/>
        <v>23.700000000000003</v>
      </c>
    </row>
    <row r="2797" spans="6:35" ht="24" customHeight="1">
      <c r="F2797" s="356"/>
      <c r="G2797" s="357"/>
      <c r="H2797" s="356"/>
      <c r="I2797" s="356"/>
      <c r="J2797" s="359"/>
      <c r="K2797" s="356"/>
      <c r="AD2797" s="41"/>
      <c r="AE2797" s="101"/>
      <c r="AF2797" s="41" t="s">
        <v>403</v>
      </c>
      <c r="AG2797" s="41"/>
      <c r="AH2797" s="86"/>
      <c r="AI2797" s="41">
        <f>SUM(AI2786:AI2796)</f>
        <v>21630.036</v>
      </c>
    </row>
    <row r="2798" spans="6:35" ht="24" customHeight="1">
      <c r="F2798" s="356"/>
      <c r="G2798" s="357"/>
      <c r="H2798" s="356"/>
      <c r="I2798" s="356" t="s">
        <v>2375</v>
      </c>
      <c r="J2798" s="359"/>
      <c r="K2798" s="356">
        <f>K2796/3.5</f>
        <v>1935.9007885714284</v>
      </c>
      <c r="AD2798" s="41"/>
      <c r="AE2798" s="101"/>
      <c r="AF2798" s="41"/>
      <c r="AG2798" s="41"/>
      <c r="AH2798" s="86"/>
      <c r="AI2798" s="402" t="s">
        <v>1430</v>
      </c>
    </row>
    <row r="2799" spans="6:35" ht="24" customHeight="1">
      <c r="F2799" s="356"/>
      <c r="G2799" s="357"/>
      <c r="H2799" s="356"/>
      <c r="I2799" s="356"/>
      <c r="J2799" s="359"/>
      <c r="K2799" s="356"/>
      <c r="AD2799" s="41"/>
      <c r="AE2799" s="101"/>
      <c r="AF2799" s="41" t="s">
        <v>403</v>
      </c>
      <c r="AG2799" s="41"/>
      <c r="AH2799" s="86"/>
      <c r="AI2799" s="41">
        <f>AI2797/AD2789</f>
        <v>5475.958481012658</v>
      </c>
    </row>
    <row r="2800" spans="6:35" ht="54.75" customHeight="1">
      <c r="F2800" s="215" t="s">
        <v>1309</v>
      </c>
      <c r="G2800" s="363" t="s">
        <v>67</v>
      </c>
      <c r="H2800" s="214" t="s">
        <v>1316</v>
      </c>
      <c r="I2800" s="356"/>
      <c r="J2800" s="359"/>
      <c r="K2800" s="356"/>
      <c r="AD2800" s="41"/>
      <c r="AE2800" s="101"/>
      <c r="AF2800" s="41"/>
      <c r="AG2800" s="41"/>
      <c r="AH2800" s="86"/>
      <c r="AI2800" s="402" t="s">
        <v>1430</v>
      </c>
    </row>
    <row r="2801" spans="6:18" ht="24" customHeight="1">
      <c r="F2801" s="356"/>
      <c r="G2801" s="357"/>
      <c r="H2801" s="214" t="s">
        <v>1311</v>
      </c>
      <c r="I2801" s="356"/>
      <c r="J2801" s="359"/>
      <c r="K2801" s="356"/>
    </row>
    <row r="2802" spans="6:18" ht="24" customHeight="1">
      <c r="F2802" s="356"/>
      <c r="G2802" s="357"/>
      <c r="H2802" s="214" t="s">
        <v>1312</v>
      </c>
      <c r="I2802" s="362" t="s">
        <v>2376</v>
      </c>
      <c r="J2802" s="359"/>
      <c r="K2802" s="356"/>
    </row>
    <row r="2803" spans="6:18" ht="24" customHeight="1">
      <c r="F2803" s="356"/>
      <c r="G2803" s="357"/>
      <c r="H2803" s="364" t="s">
        <v>48</v>
      </c>
      <c r="I2803" s="356"/>
      <c r="J2803" s="359"/>
      <c r="K2803" s="356"/>
    </row>
    <row r="2804" spans="6:18" ht="24" customHeight="1">
      <c r="F2804" s="356"/>
      <c r="G2804" s="357"/>
      <c r="H2804" s="214" t="s">
        <v>2347</v>
      </c>
      <c r="I2804" s="356"/>
      <c r="J2804" s="359"/>
      <c r="K2804" s="356"/>
    </row>
    <row r="2805" spans="6:18" ht="24" customHeight="1">
      <c r="F2805" s="356"/>
      <c r="G2805" s="357"/>
      <c r="H2805" s="214" t="s">
        <v>2351</v>
      </c>
      <c r="I2805" s="356"/>
      <c r="J2805" s="359"/>
      <c r="K2805" s="356"/>
    </row>
    <row r="2806" spans="6:18" ht="24" customHeight="1">
      <c r="F2806" s="356"/>
      <c r="G2806" s="357"/>
      <c r="H2806" s="356"/>
      <c r="I2806" s="356"/>
      <c r="J2806" s="215" t="s">
        <v>48</v>
      </c>
      <c r="K2806" s="356"/>
    </row>
    <row r="2807" spans="6:18" ht="24" customHeight="1">
      <c r="F2807" s="356"/>
      <c r="G2807" s="357"/>
      <c r="H2807" s="214" t="s">
        <v>2354</v>
      </c>
      <c r="I2807" s="356"/>
      <c r="J2807" s="359"/>
      <c r="K2807" s="356"/>
      <c r="M2807" s="215" t="s">
        <v>1309</v>
      </c>
      <c r="N2807" s="363" t="s">
        <v>67</v>
      </c>
      <c r="O2807" s="214" t="s">
        <v>1316</v>
      </c>
      <c r="P2807" s="356"/>
      <c r="Q2807" s="359"/>
      <c r="R2807" s="356"/>
    </row>
    <row r="2808" spans="6:18" ht="24" customHeight="1">
      <c r="F2808" s="356"/>
      <c r="G2808" s="357"/>
      <c r="H2808" s="214" t="s">
        <v>2355</v>
      </c>
      <c r="I2808" s="356"/>
      <c r="J2808" s="359"/>
      <c r="K2808" s="388">
        <v>2.7099999999999999E-2</v>
      </c>
      <c r="M2808" s="356"/>
      <c r="N2808" s="357"/>
      <c r="O2808" s="214" t="s">
        <v>1311</v>
      </c>
      <c r="P2808" s="356"/>
      <c r="Q2808" s="359"/>
      <c r="R2808" s="356"/>
    </row>
    <row r="2809" spans="6:18" ht="24" customHeight="1">
      <c r="F2809" s="356"/>
      <c r="G2809" s="357"/>
      <c r="H2809" s="356"/>
      <c r="I2809" s="356"/>
      <c r="J2809" s="215" t="s">
        <v>27</v>
      </c>
      <c r="K2809" s="364" t="s">
        <v>48</v>
      </c>
      <c r="M2809" s="356"/>
      <c r="N2809" s="357"/>
      <c r="O2809" s="214" t="s">
        <v>2377</v>
      </c>
      <c r="P2809" s="362" t="s">
        <v>2378</v>
      </c>
      <c r="Q2809" s="359"/>
      <c r="R2809" s="356"/>
    </row>
    <row r="2810" spans="6:18" ht="24" customHeight="1">
      <c r="F2810" s="356"/>
      <c r="G2810" s="357"/>
      <c r="H2810" s="214" t="s">
        <v>2357</v>
      </c>
      <c r="I2810" s="356"/>
      <c r="J2810" s="392" t="s">
        <v>27</v>
      </c>
      <c r="K2810" s="388">
        <v>1.2840000000000001E-2</v>
      </c>
      <c r="M2810" s="356"/>
      <c r="N2810" s="357"/>
      <c r="O2810" s="364" t="s">
        <v>48</v>
      </c>
      <c r="P2810" s="356"/>
      <c r="Q2810" s="359"/>
      <c r="R2810" s="356"/>
    </row>
    <row r="2811" spans="6:18" ht="24" customHeight="1">
      <c r="F2811" s="356"/>
      <c r="G2811" s="357"/>
      <c r="H2811" s="214" t="s">
        <v>2379</v>
      </c>
      <c r="I2811" s="356"/>
      <c r="J2811" s="215" t="s">
        <v>27</v>
      </c>
      <c r="K2811" s="388">
        <v>3.5799999999999998E-3</v>
      </c>
      <c r="M2811" s="356"/>
      <c r="N2811" s="357"/>
      <c r="O2811" s="214" t="s">
        <v>2380</v>
      </c>
      <c r="P2811" s="356"/>
      <c r="Q2811" s="359"/>
      <c r="R2811" s="356"/>
    </row>
    <row r="2812" spans="6:18" ht="24" customHeight="1">
      <c r="F2812" s="403"/>
      <c r="G2812" s="357"/>
      <c r="H2812" s="356"/>
      <c r="I2812" s="356"/>
      <c r="J2812" s="359"/>
      <c r="K2812" s="364" t="s">
        <v>48</v>
      </c>
      <c r="M2812" s="356"/>
      <c r="N2812" s="357"/>
      <c r="O2812" s="214" t="s">
        <v>2351</v>
      </c>
      <c r="P2812" s="356"/>
      <c r="Q2812" s="359"/>
      <c r="R2812" s="356"/>
    </row>
    <row r="2813" spans="6:18" ht="24" customHeight="1">
      <c r="F2813" s="388">
        <v>1.898E-2</v>
      </c>
      <c r="G2813" s="363" t="s">
        <v>93</v>
      </c>
      <c r="H2813" s="214" t="s">
        <v>1327</v>
      </c>
      <c r="I2813" s="212">
        <f>AE26</f>
        <v>111600</v>
      </c>
      <c r="J2813" s="215" t="s">
        <v>93</v>
      </c>
      <c r="K2813" s="212">
        <f>(F2813*I2813)</f>
        <v>2118.1680000000001</v>
      </c>
      <c r="M2813" s="356"/>
      <c r="N2813" s="357"/>
      <c r="O2813" s="356"/>
      <c r="P2813" s="356"/>
      <c r="Q2813" s="215" t="s">
        <v>48</v>
      </c>
      <c r="R2813" s="356"/>
    </row>
    <row r="2814" spans="6:18" ht="24" customHeight="1">
      <c r="F2814" s="388">
        <f>K2808</f>
        <v>2.7099999999999999E-2</v>
      </c>
      <c r="G2814" s="363" t="s">
        <v>93</v>
      </c>
      <c r="H2814" s="214" t="s">
        <v>1329</v>
      </c>
      <c r="I2814" s="212">
        <f>AE27</f>
        <v>99400</v>
      </c>
      <c r="J2814" s="215" t="s">
        <v>93</v>
      </c>
      <c r="K2814" s="212">
        <f t="shared" ref="K2814:K2824" si="255">(F2814*I2814)</f>
        <v>2693.74</v>
      </c>
      <c r="M2814" s="356"/>
      <c r="N2814" s="357"/>
      <c r="O2814" s="214" t="s">
        <v>2381</v>
      </c>
      <c r="P2814" s="356"/>
      <c r="Q2814" s="359"/>
      <c r="R2814" s="356"/>
    </row>
    <row r="2815" spans="6:18" ht="24" customHeight="1">
      <c r="F2815" s="388">
        <f>L2778</f>
        <v>1.6420000000000001E-2</v>
      </c>
      <c r="G2815" s="363" t="s">
        <v>93</v>
      </c>
      <c r="H2815" s="214" t="s">
        <v>1331</v>
      </c>
      <c r="I2815" s="212">
        <f>AE28</f>
        <v>95000</v>
      </c>
      <c r="J2815" s="215" t="s">
        <v>93</v>
      </c>
      <c r="K2815" s="212">
        <f t="shared" si="255"/>
        <v>1559.9</v>
      </c>
      <c r="M2815" s="356"/>
      <c r="N2815" s="357"/>
      <c r="O2815" s="214" t="s">
        <v>2382</v>
      </c>
      <c r="P2815" s="356"/>
      <c r="Q2815" s="359"/>
      <c r="R2815" s="388">
        <v>2.784E-2</v>
      </c>
    </row>
    <row r="2816" spans="6:18" ht="24" customHeight="1">
      <c r="F2816" s="404"/>
      <c r="G2816" s="357"/>
      <c r="H2816" s="214" t="s">
        <v>1404</v>
      </c>
      <c r="I2816" s="212"/>
      <c r="J2816" s="359"/>
      <c r="K2816" s="212"/>
      <c r="M2816" s="356"/>
      <c r="N2816" s="357"/>
      <c r="O2816" s="356"/>
      <c r="P2816" s="356"/>
      <c r="Q2816" s="215" t="s">
        <v>27</v>
      </c>
      <c r="R2816" s="364" t="s">
        <v>48</v>
      </c>
    </row>
    <row r="2817" spans="6:18" ht="24" customHeight="1">
      <c r="F2817" s="404">
        <v>1.8225</v>
      </c>
      <c r="G2817" s="363" t="s">
        <v>438</v>
      </c>
      <c r="H2817" s="214" t="s">
        <v>1324</v>
      </c>
      <c r="I2817" s="212">
        <f>I954</f>
        <v>1617</v>
      </c>
      <c r="J2817" s="215" t="s">
        <v>438</v>
      </c>
      <c r="K2817" s="212">
        <f t="shared" si="255"/>
        <v>2946.9825000000001</v>
      </c>
      <c r="M2817" s="356"/>
      <c r="N2817" s="357"/>
      <c r="O2817" s="214" t="s">
        <v>2383</v>
      </c>
      <c r="P2817" s="356"/>
      <c r="Q2817" s="392" t="s">
        <v>27</v>
      </c>
      <c r="R2817" s="388">
        <v>2.5499999999999998E-2</v>
      </c>
    </row>
    <row r="2818" spans="6:18" ht="24" customHeight="1">
      <c r="F2818" s="212">
        <v>2</v>
      </c>
      <c r="G2818" s="363" t="s">
        <v>196</v>
      </c>
      <c r="H2818" s="214" t="s">
        <v>2384</v>
      </c>
      <c r="I2818" s="212">
        <v>120</v>
      </c>
      <c r="J2818" s="215" t="s">
        <v>105</v>
      </c>
      <c r="K2818" s="212">
        <f t="shared" si="255"/>
        <v>240</v>
      </c>
      <c r="M2818" s="356"/>
      <c r="N2818" s="357"/>
      <c r="O2818" s="214"/>
      <c r="P2818" s="356"/>
      <c r="Q2818" s="215" t="s">
        <v>27</v>
      </c>
      <c r="R2818" s="388"/>
    </row>
    <row r="2819" spans="6:18" ht="24" customHeight="1">
      <c r="F2819" s="212">
        <v>3</v>
      </c>
      <c r="G2819" s="363" t="s">
        <v>105</v>
      </c>
      <c r="H2819" s="214" t="s">
        <v>2385</v>
      </c>
      <c r="I2819" s="212">
        <v>110.17</v>
      </c>
      <c r="J2819" s="215" t="s">
        <v>105</v>
      </c>
      <c r="K2819" s="212">
        <f t="shared" si="255"/>
        <v>330.51</v>
      </c>
      <c r="M2819" s="356"/>
      <c r="N2819" s="357"/>
      <c r="O2819" s="356"/>
      <c r="P2819" s="356"/>
      <c r="Q2819" s="359"/>
      <c r="R2819" s="364" t="s">
        <v>48</v>
      </c>
    </row>
    <row r="2820" spans="6:18" ht="24" customHeight="1">
      <c r="F2820" s="212">
        <v>2</v>
      </c>
      <c r="G2820" s="363" t="s">
        <v>105</v>
      </c>
      <c r="H2820" s="214" t="s">
        <v>2386</v>
      </c>
      <c r="I2820" s="212">
        <v>160</v>
      </c>
      <c r="J2820" s="215" t="s">
        <v>105</v>
      </c>
      <c r="K2820" s="212">
        <f t="shared" si="255"/>
        <v>320</v>
      </c>
      <c r="M2820" s="388">
        <v>1.898E-2</v>
      </c>
      <c r="N2820" s="363" t="s">
        <v>93</v>
      </c>
      <c r="O2820" s="214" t="s">
        <v>1327</v>
      </c>
      <c r="P2820" s="212">
        <f>I2813</f>
        <v>111600</v>
      </c>
      <c r="Q2820" s="215" t="s">
        <v>93</v>
      </c>
      <c r="R2820" s="212">
        <f>(M2820*P2820)</f>
        <v>2118.1680000000001</v>
      </c>
    </row>
    <row r="2821" spans="6:18" ht="24" customHeight="1">
      <c r="F2821" s="212">
        <v>1</v>
      </c>
      <c r="G2821" s="363" t="s">
        <v>105</v>
      </c>
      <c r="H2821" s="214" t="s">
        <v>2387</v>
      </c>
      <c r="I2821" s="212">
        <v>550</v>
      </c>
      <c r="J2821" s="215" t="s">
        <v>105</v>
      </c>
      <c r="K2821" s="212">
        <f t="shared" si="255"/>
        <v>550</v>
      </c>
      <c r="M2821" s="388">
        <f>R2815</f>
        <v>2.784E-2</v>
      </c>
      <c r="N2821" s="363" t="s">
        <v>93</v>
      </c>
      <c r="O2821" s="214" t="s">
        <v>1329</v>
      </c>
      <c r="P2821" s="212">
        <f t="shared" ref="P2821:P2830" si="256">I2814</f>
        <v>99400</v>
      </c>
      <c r="Q2821" s="215" t="s">
        <v>93</v>
      </c>
      <c r="R2821" s="212">
        <f t="shared" ref="R2821:R2830" si="257">(M2821*P2821)</f>
        <v>2767.2959999999998</v>
      </c>
    </row>
    <row r="2822" spans="6:18" ht="24" customHeight="1">
      <c r="F2822" s="212">
        <v>1</v>
      </c>
      <c r="G2822" s="363" t="s">
        <v>105</v>
      </c>
      <c r="H2822" s="214" t="s">
        <v>1332</v>
      </c>
      <c r="I2822" s="212">
        <f>C288</f>
        <v>7.3</v>
      </c>
      <c r="J2822" s="215" t="s">
        <v>105</v>
      </c>
      <c r="K2822" s="212">
        <f t="shared" si="255"/>
        <v>7.3</v>
      </c>
      <c r="M2822" s="388">
        <f>R2817</f>
        <v>2.5499999999999998E-2</v>
      </c>
      <c r="N2822" s="363" t="s">
        <v>93</v>
      </c>
      <c r="O2822" s="214" t="s">
        <v>1331</v>
      </c>
      <c r="P2822" s="212">
        <f t="shared" si="256"/>
        <v>95000</v>
      </c>
      <c r="Q2822" s="215" t="s">
        <v>93</v>
      </c>
      <c r="R2822" s="212">
        <f t="shared" si="257"/>
        <v>2422.5</v>
      </c>
    </row>
    <row r="2823" spans="6:18" ht="24" customHeight="1">
      <c r="F2823" s="212">
        <v>1</v>
      </c>
      <c r="G2823" s="363" t="s">
        <v>105</v>
      </c>
      <c r="H2823" s="214" t="s">
        <v>463</v>
      </c>
      <c r="I2823" s="405">
        <f>I2841</f>
        <v>43.8</v>
      </c>
      <c r="J2823" s="215" t="s">
        <v>105</v>
      </c>
      <c r="K2823" s="212">
        <f t="shared" si="255"/>
        <v>43.8</v>
      </c>
      <c r="M2823" s="404"/>
      <c r="N2823" s="357"/>
      <c r="O2823" s="214" t="s">
        <v>2388</v>
      </c>
      <c r="P2823" s="212"/>
      <c r="Q2823" s="359"/>
      <c r="R2823" s="212"/>
    </row>
    <row r="2824" spans="6:18" ht="24" customHeight="1">
      <c r="F2824" s="356">
        <v>64</v>
      </c>
      <c r="G2824" s="357"/>
      <c r="H2824" s="356" t="s">
        <v>2389</v>
      </c>
      <c r="I2824" s="406">
        <f>P1121</f>
        <v>2.37</v>
      </c>
      <c r="J2824" s="359"/>
      <c r="K2824" s="212">
        <f t="shared" si="255"/>
        <v>151.68</v>
      </c>
      <c r="M2824" s="404">
        <v>2.2275</v>
      </c>
      <c r="N2824" s="363" t="s">
        <v>438</v>
      </c>
      <c r="O2824" s="214" t="s">
        <v>1324</v>
      </c>
      <c r="P2824" s="212">
        <f t="shared" si="256"/>
        <v>1617</v>
      </c>
      <c r="Q2824" s="215" t="s">
        <v>438</v>
      </c>
      <c r="R2824" s="212">
        <f t="shared" si="257"/>
        <v>3601.8674999999998</v>
      </c>
    </row>
    <row r="2825" spans="6:18" ht="24" customHeight="1">
      <c r="F2825" s="356"/>
      <c r="G2825" s="357"/>
      <c r="H2825" s="214" t="s">
        <v>2372</v>
      </c>
      <c r="I2825" s="356"/>
      <c r="J2825" s="359"/>
      <c r="K2825" s="212">
        <f>SUM(K2813:K2824)</f>
        <v>10962.080499999998</v>
      </c>
      <c r="M2825" s="212">
        <v>1</v>
      </c>
      <c r="N2825" s="363" t="s">
        <v>196</v>
      </c>
      <c r="O2825" s="214" t="s">
        <v>1325</v>
      </c>
      <c r="P2825" s="212">
        <f t="shared" si="256"/>
        <v>120</v>
      </c>
      <c r="Q2825" s="215" t="s">
        <v>105</v>
      </c>
      <c r="R2825" s="212">
        <f t="shared" si="257"/>
        <v>120</v>
      </c>
    </row>
    <row r="2826" spans="6:18" ht="24" customHeight="1">
      <c r="F2826" s="356"/>
      <c r="G2826" s="357"/>
      <c r="H2826" s="356"/>
      <c r="I2826" s="356"/>
      <c r="J2826" s="359"/>
      <c r="K2826" s="364" t="s">
        <v>48</v>
      </c>
      <c r="M2826" s="212">
        <v>3</v>
      </c>
      <c r="N2826" s="363" t="s">
        <v>105</v>
      </c>
      <c r="O2826" s="214" t="s">
        <v>1326</v>
      </c>
      <c r="P2826" s="212">
        <f t="shared" si="256"/>
        <v>110.17</v>
      </c>
      <c r="Q2826" s="215" t="s">
        <v>105</v>
      </c>
      <c r="R2826" s="212">
        <f t="shared" si="257"/>
        <v>330.51</v>
      </c>
    </row>
    <row r="2827" spans="6:18" ht="24" customHeight="1">
      <c r="F2827" s="356"/>
      <c r="G2827" s="357"/>
      <c r="H2827" s="214" t="s">
        <v>403</v>
      </c>
      <c r="I2827" s="356"/>
      <c r="J2827" s="359"/>
      <c r="K2827" s="371">
        <f>K2825/F2817</f>
        <v>6014.8589849108357</v>
      </c>
      <c r="M2827" s="212">
        <v>2</v>
      </c>
      <c r="N2827" s="363" t="s">
        <v>105</v>
      </c>
      <c r="O2827" s="214" t="s">
        <v>1328</v>
      </c>
      <c r="P2827" s="212">
        <f t="shared" si="256"/>
        <v>160</v>
      </c>
      <c r="Q2827" s="215" t="s">
        <v>105</v>
      </c>
      <c r="R2827" s="212">
        <f t="shared" si="257"/>
        <v>320</v>
      </c>
    </row>
    <row r="2828" spans="6:18" ht="24" customHeight="1">
      <c r="F2828" s="356"/>
      <c r="G2828" s="357"/>
      <c r="H2828" s="356"/>
      <c r="I2828" s="356"/>
      <c r="J2828" s="359"/>
      <c r="K2828" s="356"/>
      <c r="M2828" s="212">
        <v>1</v>
      </c>
      <c r="N2828" s="363" t="s">
        <v>105</v>
      </c>
      <c r="O2828" s="214" t="s">
        <v>1330</v>
      </c>
      <c r="P2828" s="212">
        <f t="shared" si="256"/>
        <v>550</v>
      </c>
      <c r="Q2828" s="215" t="s">
        <v>105</v>
      </c>
      <c r="R2828" s="212">
        <f t="shared" si="257"/>
        <v>550</v>
      </c>
    </row>
    <row r="2829" spans="6:18" ht="24" customHeight="1">
      <c r="F2829" s="215" t="s">
        <v>1309</v>
      </c>
      <c r="G2829" s="363" t="s">
        <v>67</v>
      </c>
      <c r="H2829" s="214" t="s">
        <v>2390</v>
      </c>
      <c r="I2829" s="356"/>
      <c r="J2829" s="359"/>
      <c r="K2829" s="356"/>
      <c r="M2829" s="212">
        <v>1</v>
      </c>
      <c r="N2829" s="363" t="s">
        <v>105</v>
      </c>
      <c r="O2829" s="214" t="s">
        <v>1332</v>
      </c>
      <c r="P2829" s="212">
        <f t="shared" si="256"/>
        <v>7.3</v>
      </c>
      <c r="Q2829" s="215" t="s">
        <v>105</v>
      </c>
      <c r="R2829" s="212">
        <f t="shared" si="257"/>
        <v>7.3</v>
      </c>
    </row>
    <row r="2830" spans="6:18" ht="24" customHeight="1">
      <c r="F2830" s="356"/>
      <c r="G2830" s="357"/>
      <c r="H2830" s="214" t="s">
        <v>1311</v>
      </c>
      <c r="I2830" s="356"/>
      <c r="J2830" s="359"/>
      <c r="K2830" s="356"/>
      <c r="M2830" s="212">
        <v>1</v>
      </c>
      <c r="N2830" s="363" t="s">
        <v>105</v>
      </c>
      <c r="O2830" s="214" t="s">
        <v>463</v>
      </c>
      <c r="P2830" s="212">
        <f t="shared" si="256"/>
        <v>43.8</v>
      </c>
      <c r="Q2830" s="215" t="s">
        <v>105</v>
      </c>
      <c r="R2830" s="212">
        <f t="shared" si="257"/>
        <v>43.8</v>
      </c>
    </row>
    <row r="2831" spans="6:18" ht="24" customHeight="1">
      <c r="F2831" s="356"/>
      <c r="G2831" s="357"/>
      <c r="H2831" s="214" t="s">
        <v>1312</v>
      </c>
      <c r="I2831" s="356"/>
      <c r="J2831" s="359">
        <f>1.1*2.025</f>
        <v>2.2275</v>
      </c>
      <c r="K2831" s="356"/>
      <c r="M2831" s="356">
        <v>58</v>
      </c>
      <c r="N2831" s="363" t="s">
        <v>105</v>
      </c>
      <c r="O2831" s="356" t="s">
        <v>1353</v>
      </c>
      <c r="P2831" s="356">
        <f>P1121</f>
        <v>2.37</v>
      </c>
      <c r="Q2831" s="359" t="s">
        <v>105</v>
      </c>
      <c r="R2831" s="212">
        <f>(M2831*P2831)</f>
        <v>137.46</v>
      </c>
    </row>
    <row r="2832" spans="6:18" ht="24" customHeight="1">
      <c r="F2832" s="356"/>
      <c r="G2832" s="357"/>
      <c r="H2832" s="364" t="s">
        <v>48</v>
      </c>
      <c r="I2832" s="356"/>
      <c r="J2832" s="359"/>
      <c r="K2832" s="356"/>
      <c r="M2832" s="356"/>
      <c r="N2832" s="357"/>
      <c r="O2832" s="214" t="s">
        <v>2391</v>
      </c>
      <c r="P2832" s="356"/>
      <c r="Q2832" s="359"/>
      <c r="R2832" s="212">
        <f>SUM(R2820:R2831)</f>
        <v>12418.901499999998</v>
      </c>
    </row>
    <row r="2833" spans="6:18" ht="28.5" customHeight="1">
      <c r="F2833" s="356"/>
      <c r="G2833" s="357"/>
      <c r="H2833" s="214" t="s">
        <v>1314</v>
      </c>
      <c r="I2833" s="356"/>
      <c r="J2833" s="359"/>
      <c r="K2833" s="356"/>
      <c r="M2833" s="356"/>
      <c r="N2833" s="357"/>
      <c r="O2833" s="356"/>
      <c r="P2833" s="356"/>
      <c r="Q2833" s="359"/>
      <c r="R2833" s="364" t="s">
        <v>48</v>
      </c>
    </row>
    <row r="2834" spans="6:18" ht="39" customHeight="1">
      <c r="F2834" s="375">
        <v>1.823</v>
      </c>
      <c r="G2834" s="363" t="s">
        <v>438</v>
      </c>
      <c r="H2834" s="373" t="s">
        <v>2392</v>
      </c>
      <c r="I2834" s="407">
        <v>2370</v>
      </c>
      <c r="J2834" s="215" t="s">
        <v>438</v>
      </c>
      <c r="K2834" s="356">
        <f>F2835*I2834</f>
        <v>4320.51</v>
      </c>
      <c r="M2834" s="356"/>
      <c r="N2834" s="357"/>
      <c r="O2834" s="214" t="s">
        <v>403</v>
      </c>
      <c r="P2834" s="356"/>
      <c r="Q2834" s="359"/>
      <c r="R2834" s="212">
        <f>R2832/M2824</f>
        <v>5575.2644219977547</v>
      </c>
    </row>
    <row r="2835" spans="6:18" ht="24" customHeight="1">
      <c r="F2835" s="398">
        <v>1.823</v>
      </c>
      <c r="G2835" s="363" t="s">
        <v>438</v>
      </c>
      <c r="H2835" s="365" t="s">
        <v>2393</v>
      </c>
      <c r="I2835" s="408">
        <v>161</v>
      </c>
      <c r="J2835" s="215" t="s">
        <v>438</v>
      </c>
      <c r="K2835" s="212">
        <f t="shared" ref="K2835:K2841" si="258">(F2835*I2835)</f>
        <v>293.50299999999999</v>
      </c>
    </row>
    <row r="2836" spans="6:18" ht="24" customHeight="1">
      <c r="F2836" s="212">
        <v>2</v>
      </c>
      <c r="G2836" s="363" t="s">
        <v>196</v>
      </c>
      <c r="H2836" s="214" t="s">
        <v>1325</v>
      </c>
      <c r="I2836" s="212">
        <f t="shared" ref="I2836:I2841" si="259">I990</f>
        <v>50.9</v>
      </c>
      <c r="J2836" s="215" t="s">
        <v>105</v>
      </c>
      <c r="K2836" s="212">
        <f t="shared" si="258"/>
        <v>101.8</v>
      </c>
    </row>
    <row r="2837" spans="6:18" ht="24" customHeight="1">
      <c r="F2837" s="212">
        <v>3</v>
      </c>
      <c r="G2837" s="363" t="s">
        <v>105</v>
      </c>
      <c r="H2837" s="214" t="s">
        <v>1326</v>
      </c>
      <c r="I2837" s="212">
        <f t="shared" si="259"/>
        <v>79.099999999999994</v>
      </c>
      <c r="J2837" s="215" t="s">
        <v>105</v>
      </c>
      <c r="K2837" s="212">
        <f t="shared" si="258"/>
        <v>237.29999999999998</v>
      </c>
    </row>
    <row r="2838" spans="6:18" ht="24" customHeight="1">
      <c r="F2838" s="212">
        <v>2</v>
      </c>
      <c r="G2838" s="363" t="s">
        <v>105</v>
      </c>
      <c r="H2838" s="214" t="s">
        <v>1328</v>
      </c>
      <c r="I2838" s="212">
        <f t="shared" si="259"/>
        <v>57.2</v>
      </c>
      <c r="J2838" s="215" t="s">
        <v>105</v>
      </c>
      <c r="K2838" s="212">
        <f t="shared" si="258"/>
        <v>114.4</v>
      </c>
    </row>
    <row r="2839" spans="6:18" ht="24" customHeight="1">
      <c r="F2839" s="212">
        <v>1</v>
      </c>
      <c r="G2839" s="363" t="s">
        <v>105</v>
      </c>
      <c r="H2839" s="214" t="s">
        <v>1330</v>
      </c>
      <c r="I2839" s="212">
        <f t="shared" si="259"/>
        <v>159.69999999999999</v>
      </c>
      <c r="J2839" s="215" t="s">
        <v>105</v>
      </c>
      <c r="K2839" s="212">
        <f t="shared" si="258"/>
        <v>159.69999999999999</v>
      </c>
    </row>
    <row r="2840" spans="6:18" ht="24" customHeight="1">
      <c r="F2840" s="212">
        <v>1</v>
      </c>
      <c r="G2840" s="363" t="s">
        <v>105</v>
      </c>
      <c r="H2840" s="214" t="s">
        <v>1332</v>
      </c>
      <c r="I2840" s="212">
        <f t="shared" si="259"/>
        <v>7.3</v>
      </c>
      <c r="J2840" s="215" t="s">
        <v>105</v>
      </c>
      <c r="K2840" s="212">
        <f t="shared" si="258"/>
        <v>7.3</v>
      </c>
      <c r="M2840" s="215" t="s">
        <v>1309</v>
      </c>
      <c r="N2840" s="363" t="s">
        <v>67</v>
      </c>
      <c r="O2840" s="214" t="s">
        <v>1316</v>
      </c>
      <c r="P2840" s="356"/>
      <c r="Q2840" s="359"/>
      <c r="R2840" s="356"/>
    </row>
    <row r="2841" spans="6:18" ht="24" customHeight="1">
      <c r="F2841" s="212">
        <v>1</v>
      </c>
      <c r="G2841" s="363" t="s">
        <v>105</v>
      </c>
      <c r="H2841" s="214" t="s">
        <v>463</v>
      </c>
      <c r="I2841" s="212">
        <f t="shared" si="259"/>
        <v>43.8</v>
      </c>
      <c r="J2841" s="215" t="s">
        <v>105</v>
      </c>
      <c r="K2841" s="212">
        <f t="shared" si="258"/>
        <v>43.8</v>
      </c>
      <c r="M2841" s="356"/>
      <c r="N2841" s="357"/>
      <c r="O2841" s="214" t="s">
        <v>1311</v>
      </c>
      <c r="P2841" s="362" t="s">
        <v>2394</v>
      </c>
      <c r="Q2841" s="359"/>
      <c r="R2841" s="356"/>
    </row>
    <row r="2842" spans="6:18" ht="24" customHeight="1">
      <c r="F2842" s="356"/>
      <c r="G2842" s="357"/>
      <c r="H2842" s="356"/>
      <c r="I2842" s="356"/>
      <c r="J2842" s="359"/>
      <c r="K2842" s="368">
        <v>0.85</v>
      </c>
      <c r="M2842" s="356"/>
      <c r="N2842" s="357"/>
      <c r="O2842" s="214" t="s">
        <v>2377</v>
      </c>
      <c r="P2842" s="362" t="s">
        <v>2395</v>
      </c>
      <c r="Q2842" s="359"/>
      <c r="R2842" s="356"/>
    </row>
    <row r="2843" spans="6:18" ht="24" customHeight="1">
      <c r="F2843" s="356"/>
      <c r="G2843" s="357"/>
      <c r="H2843" s="214" t="s">
        <v>2396</v>
      </c>
      <c r="I2843" s="356"/>
      <c r="J2843" s="359"/>
      <c r="K2843" s="212">
        <f>SUM(K2834:K2842)</f>
        <v>5279.1630000000005</v>
      </c>
      <c r="M2843" s="356"/>
      <c r="N2843" s="357"/>
      <c r="O2843" s="364" t="s">
        <v>48</v>
      </c>
      <c r="Q2843" s="359"/>
      <c r="R2843" s="356"/>
    </row>
    <row r="2844" spans="6:18" ht="24" customHeight="1">
      <c r="F2844" s="356"/>
      <c r="G2844" s="357"/>
      <c r="H2844" s="356"/>
      <c r="I2844" s="356"/>
      <c r="J2844" s="359"/>
      <c r="K2844" s="364" t="s">
        <v>48</v>
      </c>
      <c r="M2844" s="356"/>
      <c r="N2844" s="357"/>
      <c r="O2844" s="214" t="s">
        <v>2397</v>
      </c>
      <c r="P2844" s="356"/>
      <c r="Q2844" s="359"/>
      <c r="R2844" s="356"/>
    </row>
    <row r="2845" spans="6:18" ht="24" customHeight="1">
      <c r="F2845" s="356"/>
      <c r="G2845" s="357"/>
      <c r="H2845" s="214" t="s">
        <v>403</v>
      </c>
      <c r="I2845" s="356"/>
      <c r="J2845" s="359"/>
      <c r="K2845" s="212">
        <f>K2843/F2835</f>
        <v>2895.8656061437196</v>
      </c>
      <c r="M2845" s="356"/>
      <c r="N2845" s="357"/>
      <c r="O2845" s="214" t="s">
        <v>2398</v>
      </c>
      <c r="P2845" s="356"/>
      <c r="Q2845" s="359"/>
      <c r="R2845" s="356"/>
    </row>
    <row r="2846" spans="6:18" ht="24" customHeight="1">
      <c r="F2846" s="214" t="s">
        <v>27</v>
      </c>
      <c r="G2846" s="357"/>
      <c r="H2846" s="356"/>
      <c r="I2846" s="356"/>
      <c r="J2846" s="359"/>
      <c r="K2846" s="356"/>
      <c r="M2846" s="356"/>
      <c r="N2846" s="357"/>
      <c r="O2846" s="356"/>
      <c r="P2846" s="356"/>
      <c r="Q2846" s="215" t="s">
        <v>48</v>
      </c>
      <c r="R2846" s="356"/>
    </row>
    <row r="2847" spans="6:18" ht="24" customHeight="1">
      <c r="F2847" s="356"/>
      <c r="G2847" s="357"/>
      <c r="H2847" s="356"/>
      <c r="I2847" s="356"/>
      <c r="J2847" s="359"/>
      <c r="K2847" s="356"/>
      <c r="M2847" s="356"/>
      <c r="N2847" s="357"/>
      <c r="O2847" s="214" t="s">
        <v>2399</v>
      </c>
      <c r="P2847" s="356"/>
      <c r="Q2847" s="359"/>
      <c r="R2847" s="356"/>
    </row>
    <row r="2848" spans="6:18" ht="24" customHeight="1">
      <c r="F2848" s="372" t="s">
        <v>2312</v>
      </c>
      <c r="G2848" s="357"/>
      <c r="H2848" s="214" t="s">
        <v>2400</v>
      </c>
      <c r="I2848" s="356"/>
      <c r="J2848" s="409"/>
      <c r="K2848" s="356"/>
      <c r="M2848" s="356"/>
      <c r="N2848" s="357"/>
      <c r="O2848" s="214" t="s">
        <v>2401</v>
      </c>
      <c r="P2848" s="356"/>
      <c r="Q2848" s="359"/>
      <c r="R2848" s="388">
        <v>2.8910000000000002E-2</v>
      </c>
    </row>
    <row r="2849" spans="6:18" ht="24" customHeight="1">
      <c r="F2849" s="356"/>
      <c r="G2849" s="357"/>
      <c r="H2849" s="364" t="s">
        <v>48</v>
      </c>
      <c r="I2849" s="364" t="s">
        <v>48</v>
      </c>
      <c r="J2849" s="214" t="s">
        <v>48</v>
      </c>
      <c r="K2849" s="356"/>
      <c r="M2849" s="356"/>
      <c r="N2849" s="357"/>
      <c r="O2849" s="356"/>
      <c r="P2849" s="356"/>
      <c r="Q2849" s="215" t="s">
        <v>27</v>
      </c>
      <c r="R2849" s="364" t="s">
        <v>48</v>
      </c>
    </row>
    <row r="2850" spans="6:18" ht="24" customHeight="1">
      <c r="F2850" s="356"/>
      <c r="G2850" s="357"/>
      <c r="H2850" s="356"/>
      <c r="I2850" s="356"/>
      <c r="J2850" s="409"/>
      <c r="K2850" s="356"/>
      <c r="M2850" s="356"/>
      <c r="N2850" s="357"/>
      <c r="O2850" s="214" t="s">
        <v>2402</v>
      </c>
      <c r="P2850" s="356"/>
      <c r="Q2850" s="392" t="s">
        <v>27</v>
      </c>
      <c r="R2850" s="388"/>
    </row>
    <row r="2851" spans="6:18" ht="24" customHeight="1">
      <c r="F2851" s="356"/>
      <c r="G2851" s="357"/>
      <c r="H2851" s="214" t="s">
        <v>1424</v>
      </c>
      <c r="I2851" s="356"/>
      <c r="J2851" s="409"/>
      <c r="K2851" s="356"/>
      <c r="M2851" s="356"/>
      <c r="N2851" s="357"/>
      <c r="O2851" s="214" t="s">
        <v>2403</v>
      </c>
      <c r="P2851" s="356"/>
      <c r="Q2851" s="215" t="s">
        <v>27</v>
      </c>
      <c r="R2851" s="388">
        <v>1.7999999999999999E-2</v>
      </c>
    </row>
    <row r="2852" spans="6:18" ht="24" customHeight="1">
      <c r="F2852" s="356"/>
      <c r="G2852" s="357"/>
      <c r="H2852" s="214"/>
      <c r="I2852" s="356"/>
      <c r="J2852" s="409"/>
      <c r="K2852" s="356"/>
      <c r="M2852" s="356"/>
      <c r="N2852" s="357"/>
      <c r="O2852" s="356"/>
      <c r="P2852" s="356"/>
      <c r="Q2852" s="359"/>
      <c r="R2852" s="364" t="s">
        <v>48</v>
      </c>
    </row>
    <row r="2853" spans="6:18" ht="24" customHeight="1">
      <c r="F2853" s="356"/>
      <c r="G2853" s="357"/>
      <c r="H2853" s="410" t="s">
        <v>1426</v>
      </c>
      <c r="I2853" s="356"/>
      <c r="J2853" s="409"/>
      <c r="K2853" s="411"/>
      <c r="M2853" s="388">
        <v>1.9220000000000001E-2</v>
      </c>
      <c r="N2853" s="363" t="s">
        <v>93</v>
      </c>
      <c r="O2853" s="214" t="s">
        <v>1327</v>
      </c>
      <c r="P2853" s="212">
        <f>P2820</f>
        <v>111600</v>
      </c>
      <c r="Q2853" s="215" t="s">
        <v>93</v>
      </c>
      <c r="R2853" s="212">
        <f>(M2853*P2853)</f>
        <v>2144.9520000000002</v>
      </c>
    </row>
    <row r="2854" spans="6:18" ht="24" customHeight="1">
      <c r="F2854" s="356"/>
      <c r="G2854" s="357"/>
      <c r="H2854" s="214" t="s">
        <v>1427</v>
      </c>
      <c r="I2854" s="412">
        <f>0.0118+0.00675</f>
        <v>1.8550000000000001E-2</v>
      </c>
      <c r="J2854" s="409"/>
      <c r="K2854" s="356"/>
      <c r="M2854" s="388">
        <f>R2848</f>
        <v>2.8910000000000002E-2</v>
      </c>
      <c r="N2854" s="363" t="s">
        <v>93</v>
      </c>
      <c r="O2854" s="214" t="s">
        <v>1329</v>
      </c>
      <c r="P2854" s="212">
        <f t="shared" ref="P2854:P2863" si="260">P2821</f>
        <v>99400</v>
      </c>
      <c r="Q2854" s="215" t="s">
        <v>93</v>
      </c>
      <c r="R2854" s="212">
        <f>(M2854*P2854)</f>
        <v>2873.654</v>
      </c>
    </row>
    <row r="2855" spans="6:18" ht="24" customHeight="1">
      <c r="F2855" s="356"/>
      <c r="G2855" s="357"/>
      <c r="H2855" s="214" t="s">
        <v>1428</v>
      </c>
      <c r="I2855" s="356"/>
      <c r="J2855" s="409"/>
      <c r="K2855" s="356"/>
      <c r="M2855" s="388">
        <f>R2851</f>
        <v>1.7999999999999999E-2</v>
      </c>
      <c r="N2855" s="363" t="s">
        <v>93</v>
      </c>
      <c r="O2855" s="214" t="s">
        <v>1331</v>
      </c>
      <c r="P2855" s="212">
        <f t="shared" si="260"/>
        <v>95000</v>
      </c>
      <c r="Q2855" s="215" t="s">
        <v>93</v>
      </c>
      <c r="R2855" s="212">
        <f>(M2855*P2855)</f>
        <v>1709.9999999999998</v>
      </c>
    </row>
    <row r="2856" spans="6:18" ht="24" customHeight="1">
      <c r="F2856" s="356"/>
      <c r="G2856" s="357"/>
      <c r="H2856" s="214" t="s">
        <v>1429</v>
      </c>
      <c r="I2856" s="356"/>
      <c r="J2856" s="409"/>
      <c r="K2856" s="356"/>
      <c r="M2856" s="404"/>
      <c r="N2856" s="357"/>
      <c r="O2856" s="214" t="s">
        <v>2388</v>
      </c>
      <c r="P2856" s="212"/>
      <c r="Q2856" s="359"/>
      <c r="R2856" s="212"/>
    </row>
    <row r="2857" spans="6:18" ht="24" customHeight="1">
      <c r="F2857" s="356"/>
      <c r="G2857" s="357"/>
      <c r="H2857" s="214" t="s">
        <v>2314</v>
      </c>
      <c r="I2857" s="356"/>
      <c r="J2857" s="214" t="s">
        <v>27</v>
      </c>
      <c r="K2857" s="388">
        <v>3.7699999999999997E-2</v>
      </c>
      <c r="M2857" s="404">
        <v>2.2549999999999999</v>
      </c>
      <c r="N2857" s="363" t="s">
        <v>438</v>
      </c>
      <c r="O2857" s="214" t="s">
        <v>1324</v>
      </c>
      <c r="P2857" s="212">
        <f t="shared" si="260"/>
        <v>1617</v>
      </c>
      <c r="Q2857" s="215" t="s">
        <v>438</v>
      </c>
      <c r="R2857" s="212">
        <f t="shared" ref="R2857:R2863" si="261">(M2857*P2857)</f>
        <v>3646.335</v>
      </c>
    </row>
    <row r="2858" spans="6:18" ht="24" customHeight="1">
      <c r="F2858" s="356"/>
      <c r="G2858" s="357"/>
      <c r="H2858" s="214" t="s">
        <v>2404</v>
      </c>
      <c r="I2858" s="356"/>
      <c r="J2858" s="410" t="s">
        <v>27</v>
      </c>
      <c r="K2858" s="410" t="s">
        <v>27</v>
      </c>
      <c r="M2858" s="212">
        <v>1</v>
      </c>
      <c r="N2858" s="363" t="s">
        <v>196</v>
      </c>
      <c r="O2858" s="214" t="s">
        <v>1325</v>
      </c>
      <c r="P2858" s="212">
        <f t="shared" si="260"/>
        <v>120</v>
      </c>
      <c r="Q2858" s="215" t="s">
        <v>105</v>
      </c>
      <c r="R2858" s="212">
        <f t="shared" si="261"/>
        <v>120</v>
      </c>
    </row>
    <row r="2859" spans="6:18" ht="67.5" customHeight="1">
      <c r="F2859" s="356"/>
      <c r="G2859" s="357"/>
      <c r="H2859" s="214" t="s">
        <v>1434</v>
      </c>
      <c r="I2859" s="356"/>
      <c r="J2859" s="409"/>
      <c r="K2859" s="410" t="s">
        <v>27</v>
      </c>
      <c r="M2859" s="212">
        <v>3</v>
      </c>
      <c r="N2859" s="363" t="s">
        <v>105</v>
      </c>
      <c r="O2859" s="214" t="s">
        <v>1326</v>
      </c>
      <c r="P2859" s="212">
        <f t="shared" si="260"/>
        <v>110.17</v>
      </c>
      <c r="Q2859" s="215" t="s">
        <v>105</v>
      </c>
      <c r="R2859" s="212">
        <f t="shared" si="261"/>
        <v>330.51</v>
      </c>
    </row>
    <row r="2860" spans="6:18" ht="24" customHeight="1">
      <c r="F2860" s="356"/>
      <c r="G2860" s="357"/>
      <c r="H2860" s="214"/>
      <c r="I2860" s="356"/>
      <c r="J2860" s="409"/>
      <c r="K2860" s="410"/>
      <c r="M2860" s="212">
        <v>2</v>
      </c>
      <c r="N2860" s="363" t="s">
        <v>105</v>
      </c>
      <c r="O2860" s="214" t="s">
        <v>1328</v>
      </c>
      <c r="P2860" s="212">
        <f t="shared" si="260"/>
        <v>160</v>
      </c>
      <c r="Q2860" s="215" t="s">
        <v>105</v>
      </c>
      <c r="R2860" s="212">
        <f t="shared" si="261"/>
        <v>320</v>
      </c>
    </row>
    <row r="2861" spans="6:18" ht="24" customHeight="1">
      <c r="F2861" s="356"/>
      <c r="G2861" s="357"/>
      <c r="H2861" s="214"/>
      <c r="I2861" s="356"/>
      <c r="J2861" s="409"/>
      <c r="K2861" s="410"/>
      <c r="M2861" s="212">
        <v>1</v>
      </c>
      <c r="N2861" s="363" t="s">
        <v>105</v>
      </c>
      <c r="O2861" s="214" t="s">
        <v>1330</v>
      </c>
      <c r="P2861" s="212">
        <f t="shared" si="260"/>
        <v>550</v>
      </c>
      <c r="Q2861" s="215" t="s">
        <v>105</v>
      </c>
      <c r="R2861" s="212">
        <f t="shared" si="261"/>
        <v>550</v>
      </c>
    </row>
    <row r="2862" spans="6:18" ht="24" customHeight="1">
      <c r="F2862" s="356"/>
      <c r="G2862" s="357"/>
      <c r="H2862" s="356"/>
      <c r="I2862" s="356"/>
      <c r="J2862" s="409"/>
      <c r="K2862" s="356"/>
      <c r="M2862" s="212">
        <v>1</v>
      </c>
      <c r="N2862" s="363" t="s">
        <v>105</v>
      </c>
      <c r="O2862" s="214" t="s">
        <v>1332</v>
      </c>
      <c r="P2862" s="212">
        <f t="shared" si="260"/>
        <v>7.3</v>
      </c>
      <c r="Q2862" s="215" t="s">
        <v>105</v>
      </c>
      <c r="R2862" s="212">
        <f t="shared" si="261"/>
        <v>7.3</v>
      </c>
    </row>
    <row r="2863" spans="6:18" ht="24" customHeight="1">
      <c r="F2863" s="413">
        <v>1.18E-2</v>
      </c>
      <c r="G2863" s="363" t="s">
        <v>93</v>
      </c>
      <c r="H2863" s="214" t="s">
        <v>454</v>
      </c>
      <c r="I2863" s="212">
        <f>I2813</f>
        <v>111600</v>
      </c>
      <c r="J2863" s="214" t="s">
        <v>93</v>
      </c>
      <c r="K2863" s="212">
        <f t="shared" ref="K2863:K2872" si="262">(F2863*I2863)</f>
        <v>1316.8799999999999</v>
      </c>
      <c r="M2863" s="212">
        <v>1</v>
      </c>
      <c r="N2863" s="363" t="s">
        <v>105</v>
      </c>
      <c r="O2863" s="214" t="s">
        <v>463</v>
      </c>
      <c r="P2863" s="212">
        <f t="shared" si="260"/>
        <v>43.8</v>
      </c>
      <c r="Q2863" s="215" t="s">
        <v>105</v>
      </c>
      <c r="R2863" s="212">
        <f t="shared" si="261"/>
        <v>43.8</v>
      </c>
    </row>
    <row r="2864" spans="6:18" ht="24" customHeight="1">
      <c r="F2864" s="388">
        <v>6.7499999999999999E-3</v>
      </c>
      <c r="G2864" s="363" t="s">
        <v>93</v>
      </c>
      <c r="H2864" s="214" t="s">
        <v>455</v>
      </c>
      <c r="I2864" s="212">
        <f>I2814</f>
        <v>99400</v>
      </c>
      <c r="J2864" s="214" t="s">
        <v>93</v>
      </c>
      <c r="K2864" s="212">
        <f t="shared" si="262"/>
        <v>670.95</v>
      </c>
      <c r="M2864" s="356">
        <v>58</v>
      </c>
      <c r="N2864" s="363" t="s">
        <v>105</v>
      </c>
      <c r="O2864" s="356" t="s">
        <v>1353</v>
      </c>
      <c r="P2864" s="356">
        <f>P2831</f>
        <v>2.37</v>
      </c>
      <c r="Q2864" s="359" t="s">
        <v>105</v>
      </c>
      <c r="R2864" s="212">
        <f>(M2864*P2864)</f>
        <v>137.46</v>
      </c>
    </row>
    <row r="2865" spans="6:18" ht="24" customHeight="1">
      <c r="F2865" s="388">
        <v>1.8550000000000001E-2</v>
      </c>
      <c r="G2865" s="363" t="s">
        <v>93</v>
      </c>
      <c r="H2865" s="214" t="s">
        <v>1435</v>
      </c>
      <c r="I2865" s="212">
        <f>C30</f>
        <v>14384.999999999998</v>
      </c>
      <c r="J2865" s="214" t="s">
        <v>93</v>
      </c>
      <c r="K2865" s="212">
        <f t="shared" si="262"/>
        <v>266.84174999999999</v>
      </c>
      <c r="M2865" s="356"/>
      <c r="N2865" s="357"/>
      <c r="O2865" s="214" t="s">
        <v>2405</v>
      </c>
      <c r="P2865" s="356"/>
      <c r="Q2865" s="359"/>
      <c r="R2865" s="212">
        <f>SUM(R2853:R2864)+21.502</f>
        <v>11905.512999999997</v>
      </c>
    </row>
    <row r="2866" spans="6:18" ht="24" customHeight="1">
      <c r="F2866" s="388">
        <v>2.0499999999999998</v>
      </c>
      <c r="G2866" s="363" t="s">
        <v>438</v>
      </c>
      <c r="H2866" s="214" t="s">
        <v>2406</v>
      </c>
      <c r="I2866" s="212">
        <v>840</v>
      </c>
      <c r="J2866" s="214" t="s">
        <v>438</v>
      </c>
      <c r="K2866" s="212">
        <f t="shared" si="262"/>
        <v>1721.9999999999998</v>
      </c>
      <c r="M2866" s="356"/>
      <c r="N2866" s="357"/>
      <c r="O2866" s="356"/>
      <c r="P2866" s="356"/>
      <c r="Q2866" s="359"/>
      <c r="R2866" s="364" t="s">
        <v>48</v>
      </c>
    </row>
    <row r="2867" spans="6:18" ht="36" customHeight="1">
      <c r="F2867" s="388">
        <v>2.0499999999999998</v>
      </c>
      <c r="G2867" s="363" t="s">
        <v>438</v>
      </c>
      <c r="H2867" s="414" t="s">
        <v>2407</v>
      </c>
      <c r="I2867" s="408">
        <v>248</v>
      </c>
      <c r="J2867" s="214" t="s">
        <v>438</v>
      </c>
      <c r="K2867" s="212">
        <f t="shared" si="262"/>
        <v>508.4</v>
      </c>
      <c r="M2867" s="356"/>
      <c r="N2867" s="357"/>
      <c r="O2867" s="214" t="s">
        <v>403</v>
      </c>
      <c r="P2867" s="356"/>
      <c r="Q2867" s="359"/>
      <c r="R2867" s="212">
        <f>R2865/M2857</f>
        <v>5279.6066518847001</v>
      </c>
    </row>
    <row r="2868" spans="6:18" ht="24" customHeight="1">
      <c r="F2868" s="212">
        <v>2</v>
      </c>
      <c r="G2868" s="363" t="s">
        <v>105</v>
      </c>
      <c r="H2868" s="214" t="s">
        <v>2316</v>
      </c>
      <c r="I2868" s="212">
        <f>E285</f>
        <v>50.3</v>
      </c>
      <c r="J2868" s="214" t="s">
        <v>105</v>
      </c>
      <c r="K2868" s="212">
        <f t="shared" si="262"/>
        <v>100.6</v>
      </c>
    </row>
    <row r="2869" spans="6:18" ht="24" customHeight="1">
      <c r="F2869" s="212">
        <v>8</v>
      </c>
      <c r="G2869" s="363" t="s">
        <v>105</v>
      </c>
      <c r="H2869" s="214" t="s">
        <v>1395</v>
      </c>
      <c r="I2869" s="212">
        <f>C282</f>
        <v>43.6</v>
      </c>
      <c r="J2869" s="214" t="s">
        <v>105</v>
      </c>
      <c r="K2869" s="212">
        <f t="shared" si="262"/>
        <v>348.8</v>
      </c>
    </row>
    <row r="2870" spans="6:18" ht="24" customHeight="1">
      <c r="F2870" s="212">
        <v>2</v>
      </c>
      <c r="G2870" s="363" t="s">
        <v>105</v>
      </c>
      <c r="H2870" s="214" t="s">
        <v>2319</v>
      </c>
      <c r="I2870" s="212">
        <f>I1134</f>
        <v>53.8</v>
      </c>
      <c r="J2870" s="214" t="s">
        <v>105</v>
      </c>
      <c r="K2870" s="212">
        <f t="shared" si="262"/>
        <v>107.6</v>
      </c>
    </row>
    <row r="2871" spans="6:18" ht="24" customHeight="1">
      <c r="F2871" s="212">
        <v>1</v>
      </c>
      <c r="G2871" s="363" t="s">
        <v>105</v>
      </c>
      <c r="H2871" s="214" t="s">
        <v>2408</v>
      </c>
      <c r="I2871" s="415">
        <f>I1135</f>
        <v>63.2</v>
      </c>
      <c r="J2871" s="214" t="s">
        <v>105</v>
      </c>
      <c r="K2871" s="212">
        <f t="shared" si="262"/>
        <v>63.2</v>
      </c>
    </row>
    <row r="2872" spans="6:18" ht="24" customHeight="1">
      <c r="F2872" s="398">
        <v>0.94499999999999995</v>
      </c>
      <c r="G2872" s="363" t="s">
        <v>438</v>
      </c>
      <c r="H2872" s="214" t="s">
        <v>1441</v>
      </c>
      <c r="I2872" s="212">
        <f>K1167</f>
        <v>206.33800000000002</v>
      </c>
      <c r="J2872" s="214" t="s">
        <v>438</v>
      </c>
      <c r="K2872" s="212">
        <f t="shared" si="262"/>
        <v>194.98941000000002</v>
      </c>
    </row>
    <row r="2873" spans="6:18" ht="24" customHeight="1">
      <c r="F2873" s="356"/>
      <c r="G2873" s="357"/>
      <c r="H2873" s="214" t="s">
        <v>1442</v>
      </c>
      <c r="I2873" s="215" t="s">
        <v>106</v>
      </c>
      <c r="J2873" s="409"/>
      <c r="K2873" s="212">
        <v>0.6</v>
      </c>
    </row>
    <row r="2874" spans="6:18" ht="24" customHeight="1">
      <c r="F2874" s="356"/>
      <c r="G2874" s="357"/>
      <c r="H2874" s="362"/>
      <c r="I2874" s="362"/>
      <c r="J2874" s="416"/>
      <c r="K2874" s="369" t="s">
        <v>48</v>
      </c>
    </row>
    <row r="2875" spans="6:18" ht="24" customHeight="1">
      <c r="F2875" s="356"/>
      <c r="G2875" s="357"/>
      <c r="H2875" s="417" t="s">
        <v>1443</v>
      </c>
      <c r="I2875" s="362"/>
      <c r="J2875" s="416"/>
      <c r="K2875" s="371">
        <f>SUM(K2863:K2873)</f>
        <v>5300.8611600000004</v>
      </c>
    </row>
    <row r="2876" spans="6:18" ht="24" customHeight="1">
      <c r="F2876" s="356"/>
      <c r="G2876" s="363" t="s">
        <v>27</v>
      </c>
      <c r="H2876" s="362"/>
      <c r="I2876" s="362"/>
      <c r="J2876" s="416"/>
      <c r="K2876" s="369" t="s">
        <v>48</v>
      </c>
    </row>
    <row r="2877" spans="6:18" ht="24" customHeight="1">
      <c r="F2877" s="356"/>
      <c r="G2877" s="357"/>
      <c r="H2877" s="417" t="s">
        <v>403</v>
      </c>
      <c r="I2877" s="362"/>
      <c r="J2877" s="416"/>
      <c r="K2877" s="371">
        <f>K2875/2.52</f>
        <v>2103.5163333333335</v>
      </c>
    </row>
    <row r="2878" spans="6:18" ht="24" customHeight="1">
      <c r="F2878" s="356"/>
      <c r="G2878" s="357"/>
      <c r="H2878" s="362"/>
      <c r="I2878" s="362"/>
      <c r="J2878" s="416"/>
      <c r="K2878" s="369" t="s">
        <v>41</v>
      </c>
    </row>
    <row r="2879" spans="6:18" ht="24" customHeight="1">
      <c r="F2879" s="356"/>
      <c r="G2879" s="357"/>
      <c r="H2879" s="356"/>
      <c r="I2879" s="356"/>
      <c r="J2879" s="359"/>
      <c r="K2879" s="356"/>
    </row>
    <row r="2880" spans="6:18" ht="24" customHeight="1">
      <c r="F2880" s="356"/>
      <c r="G2880" s="357"/>
      <c r="H2880" s="356" t="s">
        <v>2409</v>
      </c>
      <c r="I2880" s="356"/>
      <c r="J2880" s="359"/>
      <c r="K2880" s="356"/>
    </row>
    <row r="2881" spans="6:11" ht="24" customHeight="1">
      <c r="F2881" s="356"/>
      <c r="G2881" s="357"/>
      <c r="H2881" s="356" t="s">
        <v>2410</v>
      </c>
      <c r="I2881" s="356"/>
      <c r="J2881" s="359"/>
      <c r="K2881" s="356"/>
    </row>
    <row r="2882" spans="6:11" ht="24" customHeight="1">
      <c r="F2882" s="356"/>
      <c r="G2882" s="357"/>
      <c r="H2882" s="356"/>
      <c r="I2882" s="356"/>
      <c r="J2882" s="359"/>
      <c r="K2882" s="356"/>
    </row>
    <row r="2883" spans="6:11" ht="24" customHeight="1">
      <c r="F2883" s="356">
        <v>2</v>
      </c>
      <c r="G2883" s="357" t="s">
        <v>1125</v>
      </c>
      <c r="H2883" s="356" t="s">
        <v>2411</v>
      </c>
      <c r="I2883" s="418">
        <v>64</v>
      </c>
      <c r="J2883" s="359" t="s">
        <v>1125</v>
      </c>
      <c r="K2883" s="356">
        <f>F2883*I2883</f>
        <v>128</v>
      </c>
    </row>
    <row r="2884" spans="6:11" ht="24" customHeight="1">
      <c r="F2884" s="356">
        <v>1</v>
      </c>
      <c r="G2884" s="357" t="s">
        <v>791</v>
      </c>
      <c r="H2884" s="356" t="s">
        <v>2412</v>
      </c>
      <c r="I2884" s="418">
        <f>C625</f>
        <v>33</v>
      </c>
      <c r="J2884" s="359" t="s">
        <v>793</v>
      </c>
      <c r="K2884" s="356">
        <f>F2884*I2884</f>
        <v>33</v>
      </c>
    </row>
    <row r="2885" spans="6:11" ht="24" customHeight="1">
      <c r="F2885" s="356"/>
      <c r="G2885" s="357"/>
      <c r="H2885" s="356" t="s">
        <v>2413</v>
      </c>
      <c r="I2885" s="356"/>
      <c r="J2885" s="359" t="s">
        <v>106</v>
      </c>
      <c r="K2885" s="356">
        <v>1.4</v>
      </c>
    </row>
    <row r="2886" spans="6:11" ht="24" customHeight="1">
      <c r="F2886" s="356"/>
      <c r="G2886" s="357"/>
      <c r="H2886" s="360" t="s">
        <v>2414</v>
      </c>
      <c r="I2886" s="356"/>
      <c r="J2886" s="359"/>
      <c r="K2886" s="356">
        <f>SUM(K2883:K2885)</f>
        <v>162.4</v>
      </c>
    </row>
    <row r="2887" spans="6:11" ht="24" customHeight="1">
      <c r="F2887" s="356"/>
      <c r="G2887" s="357"/>
      <c r="H2887" s="356"/>
      <c r="I2887" s="356"/>
      <c r="J2887" s="359"/>
      <c r="K2887" s="356"/>
    </row>
    <row r="2888" spans="6:11" ht="24" customHeight="1">
      <c r="F2888" s="356"/>
      <c r="G2888" s="357"/>
      <c r="H2888" s="361" t="s">
        <v>2415</v>
      </c>
      <c r="I2888" s="362"/>
      <c r="J2888" s="366"/>
      <c r="K2888" s="362">
        <f>K2886/2</f>
        <v>81.2</v>
      </c>
    </row>
    <row r="2889" spans="6:11" ht="24" customHeight="1">
      <c r="F2889" s="356"/>
      <c r="G2889" s="357"/>
      <c r="H2889" s="356"/>
      <c r="I2889" s="356"/>
      <c r="J2889" s="359"/>
      <c r="K2889" s="356"/>
    </row>
    <row r="2890" spans="6:11" ht="24" customHeight="1">
      <c r="F2890" s="356"/>
      <c r="G2890" s="357"/>
      <c r="H2890" s="356"/>
      <c r="I2890" s="356"/>
      <c r="J2890" s="359"/>
      <c r="K2890" s="356"/>
    </row>
    <row r="2891" spans="6:11" ht="24" customHeight="1">
      <c r="F2891" s="356"/>
      <c r="G2891" s="357"/>
      <c r="H2891" s="356"/>
      <c r="I2891" s="356"/>
      <c r="J2891" s="359"/>
      <c r="K2891" s="356"/>
    </row>
    <row r="2892" spans="6:11" ht="24" customHeight="1">
      <c r="F2892" s="356"/>
      <c r="G2892" s="357"/>
      <c r="H2892" s="356"/>
      <c r="I2892" s="356"/>
      <c r="J2892" s="359"/>
      <c r="K2892" s="356"/>
    </row>
    <row r="2893" spans="6:11" ht="45.75" customHeight="1">
      <c r="F2893" s="356"/>
      <c r="G2893" s="357"/>
      <c r="H2893" s="419" t="s">
        <v>2416</v>
      </c>
      <c r="I2893" s="356"/>
      <c r="J2893" s="359"/>
      <c r="K2893" s="356"/>
    </row>
    <row r="2894" spans="6:11" ht="24" customHeight="1">
      <c r="F2894" s="215"/>
      <c r="G2894" s="363" t="s">
        <v>67</v>
      </c>
      <c r="H2894" s="214" t="s">
        <v>717</v>
      </c>
      <c r="I2894" s="356"/>
      <c r="J2894" s="359"/>
      <c r="K2894" s="356"/>
    </row>
    <row r="2895" spans="6:11" ht="24" customHeight="1">
      <c r="F2895" s="356"/>
      <c r="G2895" s="357"/>
      <c r="H2895" s="214" t="s">
        <v>500</v>
      </c>
      <c r="I2895" s="356"/>
      <c r="J2895" s="359"/>
      <c r="K2895" s="356"/>
    </row>
    <row r="2896" spans="6:11" ht="24" customHeight="1">
      <c r="F2896" s="356"/>
      <c r="G2896" s="357"/>
      <c r="H2896" s="364" t="s">
        <v>48</v>
      </c>
      <c r="I2896" s="356"/>
      <c r="J2896" s="359"/>
      <c r="K2896" s="356"/>
    </row>
    <row r="2897" spans="6:11" ht="24" customHeight="1">
      <c r="F2897" s="212">
        <v>9</v>
      </c>
      <c r="G2897" s="363" t="s">
        <v>93</v>
      </c>
      <c r="H2897" s="214" t="s">
        <v>722</v>
      </c>
      <c r="I2897" s="212">
        <f t="shared" ref="I2897:I2902" si="263">I503</f>
        <v>2252.4699999999998</v>
      </c>
      <c r="J2897" s="215" t="s">
        <v>93</v>
      </c>
      <c r="K2897" s="212">
        <f t="shared" ref="K2897:K2902" si="264">(F2897*I2897)</f>
        <v>20272.23</v>
      </c>
    </row>
    <row r="2898" spans="6:11" ht="24" customHeight="1">
      <c r="F2898" s="398">
        <v>3.2309999999999999</v>
      </c>
      <c r="G2898" s="363" t="s">
        <v>84</v>
      </c>
      <c r="H2898" s="214" t="s">
        <v>85</v>
      </c>
      <c r="I2898" s="212">
        <f t="shared" si="263"/>
        <v>5800</v>
      </c>
      <c r="J2898" s="215" t="s">
        <v>84</v>
      </c>
      <c r="K2898" s="212">
        <f t="shared" si="264"/>
        <v>18739.8</v>
      </c>
    </row>
    <row r="2899" spans="6:11" ht="24" customHeight="1">
      <c r="F2899" s="212">
        <v>4.5</v>
      </c>
      <c r="G2899" s="363" t="s">
        <v>93</v>
      </c>
      <c r="H2899" s="214" t="s">
        <v>94</v>
      </c>
      <c r="I2899" s="212">
        <f t="shared" si="263"/>
        <v>2765.84</v>
      </c>
      <c r="J2899" s="215" t="s">
        <v>93</v>
      </c>
      <c r="K2899" s="212">
        <f t="shared" si="264"/>
        <v>12446.28</v>
      </c>
    </row>
    <row r="2900" spans="6:11" ht="24" customHeight="1">
      <c r="F2900" s="212">
        <v>3.5</v>
      </c>
      <c r="G2900" s="363" t="s">
        <v>105</v>
      </c>
      <c r="H2900" s="214" t="s">
        <v>269</v>
      </c>
      <c r="I2900" s="212">
        <f t="shared" si="263"/>
        <v>1005.1999999999999</v>
      </c>
      <c r="J2900" s="215" t="s">
        <v>105</v>
      </c>
      <c r="K2900" s="212">
        <f t="shared" si="264"/>
        <v>3518.2</v>
      </c>
    </row>
    <row r="2901" spans="6:11" ht="24" customHeight="1">
      <c r="F2901" s="212">
        <v>21.2</v>
      </c>
      <c r="G2901" s="363" t="s">
        <v>105</v>
      </c>
      <c r="H2901" s="214" t="s">
        <v>271</v>
      </c>
      <c r="I2901" s="212">
        <f t="shared" si="263"/>
        <v>702.8</v>
      </c>
      <c r="J2901" s="215" t="s">
        <v>105</v>
      </c>
      <c r="K2901" s="212">
        <f t="shared" si="264"/>
        <v>14899.359999999999</v>
      </c>
    </row>
    <row r="2902" spans="6:11" ht="24" customHeight="1">
      <c r="F2902" s="212">
        <v>35.299999999999997</v>
      </c>
      <c r="G2902" s="363" t="s">
        <v>105</v>
      </c>
      <c r="H2902" s="214" t="s">
        <v>276</v>
      </c>
      <c r="I2902" s="212">
        <f t="shared" si="263"/>
        <v>576.79999999999995</v>
      </c>
      <c r="J2902" s="215" t="s">
        <v>105</v>
      </c>
      <c r="K2902" s="212">
        <f t="shared" si="264"/>
        <v>20361.039999999997</v>
      </c>
    </row>
    <row r="2903" spans="6:11" ht="24" customHeight="1">
      <c r="F2903" s="356"/>
      <c r="G2903" s="363" t="s">
        <v>106</v>
      </c>
      <c r="H2903" s="214" t="s">
        <v>107</v>
      </c>
      <c r="I2903" s="214" t="s">
        <v>27</v>
      </c>
      <c r="J2903" s="215" t="s">
        <v>106</v>
      </c>
      <c r="K2903" s="212">
        <v>0</v>
      </c>
    </row>
    <row r="2904" spans="6:11" ht="24" customHeight="1">
      <c r="F2904" s="356"/>
      <c r="G2904" s="357"/>
      <c r="H2904" s="356"/>
      <c r="I2904" s="356"/>
      <c r="J2904" s="359"/>
      <c r="K2904" s="364" t="s">
        <v>48</v>
      </c>
    </row>
    <row r="2905" spans="6:11" ht="24" customHeight="1">
      <c r="F2905" s="356"/>
      <c r="G2905" s="357"/>
      <c r="H2905" s="214" t="s">
        <v>515</v>
      </c>
      <c r="I2905" s="356"/>
      <c r="J2905" s="359"/>
      <c r="K2905" s="212">
        <f>SUM(K2897:K2903)</f>
        <v>90236.909999999989</v>
      </c>
    </row>
    <row r="2906" spans="6:11" ht="24" customHeight="1">
      <c r="F2906" s="356"/>
      <c r="G2906" s="357"/>
      <c r="H2906" s="356"/>
      <c r="I2906" s="356"/>
      <c r="J2906" s="359"/>
      <c r="K2906" s="364" t="s">
        <v>48</v>
      </c>
    </row>
    <row r="2907" spans="6:11" ht="24" customHeight="1">
      <c r="F2907" s="356"/>
      <c r="G2907" s="357"/>
      <c r="H2907" s="214" t="s">
        <v>201</v>
      </c>
      <c r="I2907" s="356"/>
      <c r="J2907" s="359"/>
      <c r="K2907" s="212">
        <f>(K2905/10)</f>
        <v>9023.6909999999989</v>
      </c>
    </row>
    <row r="2908" spans="6:11" ht="24" customHeight="1">
      <c r="F2908" s="356"/>
      <c r="G2908" s="357"/>
      <c r="H2908" s="356"/>
      <c r="I2908" s="356"/>
      <c r="J2908" s="359"/>
      <c r="K2908" s="356"/>
    </row>
    <row r="2909" spans="6:11" ht="24" customHeight="1">
      <c r="F2909" s="212">
        <v>1</v>
      </c>
      <c r="G2909" s="363" t="s">
        <v>93</v>
      </c>
      <c r="H2909" s="214" t="s">
        <v>523</v>
      </c>
      <c r="I2909" s="356"/>
      <c r="J2909" s="359"/>
      <c r="K2909" s="212"/>
    </row>
    <row r="2910" spans="6:11" ht="24" customHeight="1">
      <c r="F2910" s="356"/>
      <c r="G2910" s="357"/>
      <c r="H2910" s="356"/>
      <c r="I2910" s="356"/>
      <c r="J2910" s="359"/>
      <c r="K2910" s="364" t="s">
        <v>48</v>
      </c>
    </row>
    <row r="2911" spans="6:11" ht="24" customHeight="1">
      <c r="F2911" s="356"/>
      <c r="G2911" s="357"/>
      <c r="H2911" s="214" t="s">
        <v>2417</v>
      </c>
      <c r="I2911" s="356"/>
      <c r="J2911" s="359"/>
      <c r="K2911" s="212">
        <f>SUM(K2907:K2909)</f>
        <v>9023.6909999999989</v>
      </c>
    </row>
    <row r="2912" spans="6:11" ht="24" customHeight="1">
      <c r="F2912" s="356"/>
      <c r="G2912" s="357"/>
      <c r="H2912" s="356"/>
      <c r="I2912" s="356"/>
      <c r="J2912" s="359"/>
      <c r="K2912" s="364" t="s">
        <v>48</v>
      </c>
    </row>
    <row r="2913" spans="6:16" ht="24" customHeight="1">
      <c r="F2913" s="356"/>
      <c r="G2913" s="363" t="s">
        <v>739</v>
      </c>
      <c r="H2913" s="214" t="s">
        <v>309</v>
      </c>
      <c r="I2913" s="356"/>
      <c r="J2913" s="359"/>
      <c r="K2913" s="212">
        <f>K2911+C22</f>
        <v>9149.5509999999995</v>
      </c>
    </row>
    <row r="2914" spans="6:16" ht="24" customHeight="1">
      <c r="F2914" s="356"/>
      <c r="G2914" s="363" t="s">
        <v>741</v>
      </c>
      <c r="H2914" s="214" t="s">
        <v>313</v>
      </c>
      <c r="I2914" s="356"/>
      <c r="J2914" s="359"/>
      <c r="K2914" s="212">
        <f>K2913+C23</f>
        <v>9397.3509999999987</v>
      </c>
    </row>
    <row r="2915" spans="6:16" ht="24" customHeight="1">
      <c r="F2915" s="356"/>
      <c r="G2915" s="363" t="s">
        <v>743</v>
      </c>
      <c r="H2915" s="214" t="s">
        <v>316</v>
      </c>
      <c r="I2915" s="356"/>
      <c r="J2915" s="359"/>
      <c r="K2915" s="212">
        <f>K2914+C23</f>
        <v>9645.150999999998</v>
      </c>
    </row>
    <row r="2916" spans="6:16" ht="24" customHeight="1">
      <c r="F2916" s="356"/>
      <c r="G2916" s="363" t="s">
        <v>745</v>
      </c>
      <c r="H2916" s="214" t="s">
        <v>318</v>
      </c>
      <c r="I2916" s="356"/>
      <c r="J2916" s="359"/>
      <c r="K2916" s="212">
        <f>K2915+C23</f>
        <v>9892.9509999999973</v>
      </c>
    </row>
    <row r="2917" spans="6:16" ht="24" customHeight="1">
      <c r="F2917" s="356"/>
      <c r="G2917" s="357"/>
      <c r="H2917" s="356"/>
      <c r="I2917" s="356"/>
      <c r="J2917" s="359"/>
      <c r="K2917" s="356"/>
    </row>
    <row r="2918" spans="6:16" ht="24" customHeight="1">
      <c r="F2918" s="356"/>
      <c r="G2918" s="361"/>
      <c r="H2918" s="419"/>
      <c r="I2918" s="356"/>
      <c r="J2918" s="409"/>
      <c r="K2918" s="356"/>
    </row>
    <row r="2919" spans="6:16" ht="24" customHeight="1">
      <c r="F2919" s="356"/>
      <c r="G2919" s="357"/>
      <c r="H2919" s="362" t="s">
        <v>2418</v>
      </c>
      <c r="I2919" s="356"/>
      <c r="J2919" s="409"/>
      <c r="K2919" s="356"/>
    </row>
    <row r="2920" spans="6:16" ht="24" customHeight="1">
      <c r="F2920" s="356"/>
      <c r="G2920" s="357"/>
      <c r="H2920" s="356"/>
      <c r="I2920" s="356"/>
      <c r="J2920" s="409"/>
      <c r="K2920" s="356"/>
    </row>
    <row r="2921" spans="6:16" ht="24" customHeight="1">
      <c r="F2921" s="411"/>
      <c r="G2921" s="357"/>
      <c r="H2921" s="356" t="s">
        <v>2419</v>
      </c>
      <c r="I2921" s="356"/>
      <c r="J2921" s="357"/>
      <c r="K2921" s="356"/>
    </row>
    <row r="2922" spans="6:16" ht="24" customHeight="1">
      <c r="F2922" s="375"/>
      <c r="G2922" s="357"/>
      <c r="H2922" s="356" t="s">
        <v>2420</v>
      </c>
      <c r="I2922" s="356"/>
      <c r="J2922" s="357"/>
      <c r="K2922" s="356"/>
    </row>
    <row r="2923" spans="6:16" ht="24" customHeight="1">
      <c r="F2923" s="356"/>
      <c r="G2923" s="357"/>
      <c r="H2923" s="409" t="s">
        <v>2421</v>
      </c>
      <c r="I2923" s="356"/>
      <c r="J2923" s="360"/>
      <c r="K2923" s="356"/>
      <c r="P2923" s="28">
        <f>0.35*4</f>
        <v>1.4</v>
      </c>
    </row>
    <row r="2924" spans="6:16" ht="24" customHeight="1">
      <c r="F2924" s="356"/>
      <c r="G2924" s="357"/>
      <c r="H2924" s="366" t="s">
        <v>2422</v>
      </c>
      <c r="I2924" s="362"/>
      <c r="J2924" s="361"/>
      <c r="K2924" s="362"/>
      <c r="P2924" s="28">
        <f>0.3*4</f>
        <v>1.2</v>
      </c>
    </row>
    <row r="2925" spans="6:16" ht="24" customHeight="1">
      <c r="F2925" s="356"/>
      <c r="G2925" s="357"/>
      <c r="H2925" s="356" t="s">
        <v>2423</v>
      </c>
      <c r="I2925" s="356"/>
      <c r="J2925" s="409"/>
      <c r="K2925" s="356"/>
      <c r="P2925" s="28">
        <f>1.28*2</f>
        <v>2.56</v>
      </c>
    </row>
    <row r="2926" spans="6:16" ht="24" customHeight="1">
      <c r="F2926" s="356"/>
      <c r="G2926" s="357"/>
      <c r="H2926" s="362" t="s">
        <v>2424</v>
      </c>
      <c r="I2926" s="356"/>
      <c r="J2926" s="409"/>
      <c r="K2926" s="356"/>
      <c r="P2926" s="28" t="s">
        <v>2425</v>
      </c>
    </row>
    <row r="2927" spans="6:16" ht="24" customHeight="1">
      <c r="F2927" s="411">
        <v>3.5999999999999997E-2</v>
      </c>
      <c r="G2927" s="357" t="s">
        <v>249</v>
      </c>
      <c r="H2927" s="356" t="s">
        <v>2426</v>
      </c>
      <c r="I2927" s="356">
        <f>K2913</f>
        <v>9149.5509999999995</v>
      </c>
      <c r="J2927" s="357" t="s">
        <v>249</v>
      </c>
      <c r="K2927" s="356">
        <f>F2927*I2927</f>
        <v>329.38383599999997</v>
      </c>
    </row>
    <row r="2928" spans="6:16" ht="24" customHeight="1">
      <c r="F2928" s="375">
        <v>3.0649999999999999</v>
      </c>
      <c r="G2928" s="357" t="s">
        <v>488</v>
      </c>
      <c r="H2928" s="420" t="s">
        <v>2427</v>
      </c>
      <c r="I2928" s="356">
        <f>K1582/1000</f>
        <v>80.278399999999991</v>
      </c>
      <c r="J2928" s="357" t="s">
        <v>488</v>
      </c>
      <c r="K2928" s="356">
        <f>F2928*I2928</f>
        <v>246.05329599999996</v>
      </c>
    </row>
    <row r="2929" spans="6:11" ht="24" customHeight="1">
      <c r="F2929" s="375">
        <v>0.79800000000000004</v>
      </c>
      <c r="G2929" s="357" t="s">
        <v>480</v>
      </c>
      <c r="H2929" s="356" t="s">
        <v>2428</v>
      </c>
      <c r="I2929" s="356">
        <f>I2358</f>
        <v>1200.9554639999997</v>
      </c>
      <c r="J2929" s="357" t="s">
        <v>480</v>
      </c>
      <c r="K2929" s="356">
        <f>F2929*I2929</f>
        <v>958.36246027199979</v>
      </c>
    </row>
    <row r="2930" spans="6:11" ht="24" customHeight="1">
      <c r="F2930" s="356"/>
      <c r="G2930" s="357"/>
      <c r="H2930" s="361" t="s">
        <v>2429</v>
      </c>
      <c r="I2930" s="362"/>
      <c r="J2930" s="361" t="s">
        <v>2338</v>
      </c>
      <c r="K2930" s="362">
        <f>SUM(K2927:K2929)</f>
        <v>1533.7995922719997</v>
      </c>
    </row>
    <row r="2931" spans="6:11" ht="24" customHeight="1">
      <c r="F2931" s="411"/>
      <c r="G2931" s="357"/>
      <c r="H2931" s="361" t="s">
        <v>2102</v>
      </c>
      <c r="I2931" s="356"/>
      <c r="J2931" s="361" t="s">
        <v>2338</v>
      </c>
      <c r="K2931" s="362">
        <f>K2930/2.1</f>
        <v>730.38075822476173</v>
      </c>
    </row>
    <row r="2932" spans="6:11" ht="24" customHeight="1">
      <c r="F2932" s="375"/>
      <c r="G2932" s="357"/>
      <c r="H2932" s="356"/>
      <c r="I2932" s="356"/>
      <c r="J2932" s="357"/>
      <c r="K2932" s="356"/>
    </row>
    <row r="2933" spans="6:11" ht="24" customHeight="1">
      <c r="F2933" s="356"/>
      <c r="G2933" s="357"/>
      <c r="H2933" s="360"/>
      <c r="I2933" s="356"/>
      <c r="J2933" s="360"/>
      <c r="K2933" s="356"/>
    </row>
    <row r="2934" spans="6:11" ht="24" customHeight="1">
      <c r="F2934" s="356"/>
      <c r="G2934" s="357"/>
      <c r="H2934" s="361"/>
      <c r="I2934" s="362"/>
      <c r="J2934" s="361"/>
      <c r="K2934" s="362"/>
    </row>
    <row r="2935" spans="6:11" ht="24" customHeight="1">
      <c r="F2935" s="356"/>
      <c r="G2935" s="357"/>
      <c r="H2935" s="362" t="s">
        <v>2430</v>
      </c>
      <c r="I2935" s="356"/>
      <c r="J2935" s="409"/>
      <c r="K2935" s="356"/>
    </row>
    <row r="2936" spans="6:11" ht="56.25" customHeight="1">
      <c r="F2936" s="411">
        <v>3.5999999999999997E-2</v>
      </c>
      <c r="G2936" s="357" t="s">
        <v>249</v>
      </c>
      <c r="H2936" s="356" t="s">
        <v>2426</v>
      </c>
      <c r="I2936" s="356">
        <f>K2914</f>
        <v>9397.3509999999987</v>
      </c>
      <c r="J2936" s="357" t="s">
        <v>249</v>
      </c>
      <c r="K2936" s="356">
        <f>F2936*I2936</f>
        <v>338.3046359999999</v>
      </c>
    </row>
    <row r="2937" spans="6:11" ht="24" customHeight="1">
      <c r="F2937" s="375">
        <v>3.0649999999999999</v>
      </c>
      <c r="G2937" s="357" t="s">
        <v>488</v>
      </c>
      <c r="H2937" s="420" t="s">
        <v>2427</v>
      </c>
      <c r="I2937" s="356">
        <f>K1582/1000</f>
        <v>80.278399999999991</v>
      </c>
      <c r="J2937" s="357" t="s">
        <v>488</v>
      </c>
      <c r="K2937" s="356">
        <f>F2937*I2937</f>
        <v>246.05329599999996</v>
      </c>
    </row>
    <row r="2938" spans="6:11" ht="24" customHeight="1">
      <c r="F2938" s="375">
        <v>0.79800000000000004</v>
      </c>
      <c r="G2938" s="357" t="s">
        <v>480</v>
      </c>
      <c r="H2938" s="356" t="s">
        <v>2428</v>
      </c>
      <c r="I2938" s="356">
        <f>I2358</f>
        <v>1200.9554639999997</v>
      </c>
      <c r="J2938" s="357" t="s">
        <v>480</v>
      </c>
      <c r="K2938" s="356">
        <f>F2938*I2938</f>
        <v>958.36246027199979</v>
      </c>
    </row>
    <row r="2939" spans="6:11" ht="24" customHeight="1">
      <c r="F2939" s="356"/>
      <c r="G2939" s="357"/>
      <c r="H2939" s="361" t="s">
        <v>2429</v>
      </c>
      <c r="I2939" s="362"/>
      <c r="J2939" s="361" t="s">
        <v>2338</v>
      </c>
      <c r="K2939" s="362">
        <f>SUM(K2936:K2938)</f>
        <v>1542.7203922719996</v>
      </c>
    </row>
    <row r="2940" spans="6:11" ht="24" customHeight="1">
      <c r="F2940" s="411"/>
      <c r="G2940" s="357"/>
      <c r="H2940" s="361" t="s">
        <v>2102</v>
      </c>
      <c r="I2940" s="356"/>
      <c r="J2940" s="361" t="s">
        <v>2338</v>
      </c>
      <c r="K2940" s="362">
        <f>K2939/2.1</f>
        <v>734.62875822476167</v>
      </c>
    </row>
    <row r="2941" spans="6:11" ht="24" customHeight="1">
      <c r="F2941" s="375"/>
      <c r="G2941" s="357"/>
      <c r="H2941" s="356"/>
      <c r="I2941" s="356"/>
      <c r="J2941" s="357"/>
      <c r="K2941" s="356"/>
    </row>
    <row r="2942" spans="6:11" ht="24" customHeight="1">
      <c r="F2942" s="356"/>
      <c r="G2942" s="357"/>
      <c r="H2942" s="356"/>
      <c r="I2942" s="356"/>
      <c r="J2942" s="409"/>
      <c r="K2942" s="356"/>
    </row>
    <row r="2943" spans="6:11" ht="24" customHeight="1">
      <c r="F2943" s="356"/>
      <c r="G2943" s="357"/>
      <c r="H2943" s="356"/>
      <c r="I2943" s="356"/>
      <c r="J2943" s="409"/>
      <c r="K2943" s="356"/>
    </row>
    <row r="2944" spans="6:11" ht="24" customHeight="1">
      <c r="F2944" s="356"/>
      <c r="G2944" s="357"/>
      <c r="H2944" s="356"/>
      <c r="I2944" s="356"/>
      <c r="J2944" s="409"/>
      <c r="K2944" s="356"/>
    </row>
    <row r="2945" spans="6:11" ht="24" customHeight="1">
      <c r="F2945" s="356"/>
      <c r="G2945" s="357"/>
      <c r="H2945" s="362" t="s">
        <v>2431</v>
      </c>
      <c r="I2945" s="356"/>
      <c r="J2945" s="409"/>
      <c r="K2945" s="356"/>
    </row>
    <row r="2946" spans="6:11" ht="24" customHeight="1">
      <c r="F2946" s="411">
        <v>3.5999999999999997E-2</v>
      </c>
      <c r="G2946" s="357" t="s">
        <v>249</v>
      </c>
      <c r="H2946" s="356" t="s">
        <v>2426</v>
      </c>
      <c r="I2946" s="356">
        <f>K2915</f>
        <v>9645.150999999998</v>
      </c>
      <c r="J2946" s="357" t="s">
        <v>249</v>
      </c>
      <c r="K2946" s="356">
        <f>F2946*I2946</f>
        <v>347.22543599999989</v>
      </c>
    </row>
    <row r="2947" spans="6:11" ht="24" customHeight="1">
      <c r="F2947" s="375">
        <v>3.0649999999999999</v>
      </c>
      <c r="G2947" s="357" t="s">
        <v>488</v>
      </c>
      <c r="H2947" s="420" t="s">
        <v>2427</v>
      </c>
      <c r="I2947" s="356">
        <f>I2928</f>
        <v>80.278399999999991</v>
      </c>
      <c r="J2947" s="357" t="s">
        <v>488</v>
      </c>
      <c r="K2947" s="356">
        <f>F2947*I2947</f>
        <v>246.05329599999996</v>
      </c>
    </row>
    <row r="2948" spans="6:11" ht="24" customHeight="1">
      <c r="F2948" s="375">
        <v>0.79800000000000004</v>
      </c>
      <c r="G2948" s="357" t="s">
        <v>480</v>
      </c>
      <c r="H2948" s="356" t="s">
        <v>2428</v>
      </c>
      <c r="I2948" s="356">
        <f>I2929</f>
        <v>1200.9554639999997</v>
      </c>
      <c r="J2948" s="357" t="s">
        <v>480</v>
      </c>
      <c r="K2948" s="356">
        <f>F2948*I2948</f>
        <v>958.36246027199979</v>
      </c>
    </row>
    <row r="2949" spans="6:11" ht="24" customHeight="1">
      <c r="F2949" s="356"/>
      <c r="G2949" s="357"/>
      <c r="H2949" s="361" t="s">
        <v>2429</v>
      </c>
      <c r="I2949" s="362"/>
      <c r="J2949" s="361" t="s">
        <v>2338</v>
      </c>
      <c r="K2949" s="362">
        <f>SUM(K2946:K2948)</f>
        <v>1551.6411922719997</v>
      </c>
    </row>
    <row r="2950" spans="6:11" ht="24" customHeight="1">
      <c r="F2950" s="411"/>
      <c r="G2950" s="357"/>
      <c r="H2950" s="361" t="s">
        <v>2102</v>
      </c>
      <c r="I2950" s="356"/>
      <c r="J2950" s="361" t="s">
        <v>2338</v>
      </c>
      <c r="K2950" s="362">
        <f>K2949/2.1</f>
        <v>738.87675822476172</v>
      </c>
    </row>
    <row r="2951" spans="6:11" ht="24" customHeight="1">
      <c r="F2951" s="375"/>
      <c r="G2951" s="357"/>
      <c r="H2951" s="356"/>
      <c r="I2951" s="356"/>
      <c r="J2951" s="357"/>
      <c r="K2951" s="356"/>
    </row>
    <row r="2952" spans="6:11" ht="24" customHeight="1">
      <c r="F2952" s="356"/>
      <c r="G2952" s="357"/>
      <c r="H2952" s="356"/>
      <c r="I2952" s="356"/>
      <c r="J2952" s="409"/>
      <c r="K2952" s="356"/>
    </row>
    <row r="2953" spans="6:11" ht="24" customHeight="1">
      <c r="F2953" s="356"/>
      <c r="G2953" s="357"/>
      <c r="H2953" s="356"/>
      <c r="I2953" s="356"/>
      <c r="J2953" s="409"/>
      <c r="K2953" s="356"/>
    </row>
    <row r="2954" spans="6:11" ht="24" customHeight="1">
      <c r="F2954" s="356"/>
      <c r="G2954" s="357"/>
      <c r="H2954" s="362" t="s">
        <v>2432</v>
      </c>
      <c r="I2954" s="356"/>
      <c r="J2954" s="409"/>
      <c r="K2954" s="356"/>
    </row>
    <row r="2955" spans="6:11" ht="24" customHeight="1">
      <c r="F2955" s="411">
        <v>3.5999999999999997E-2</v>
      </c>
      <c r="G2955" s="357" t="s">
        <v>249</v>
      </c>
      <c r="H2955" s="356" t="s">
        <v>2426</v>
      </c>
      <c r="I2955" s="356">
        <f>K2916</f>
        <v>9892.9509999999973</v>
      </c>
      <c r="J2955" s="357" t="s">
        <v>249</v>
      </c>
      <c r="K2955" s="356">
        <f>F2955*I2955</f>
        <v>356.14623599999987</v>
      </c>
    </row>
    <row r="2956" spans="6:11" ht="24" customHeight="1">
      <c r="F2956" s="375">
        <v>3.0649999999999999</v>
      </c>
      <c r="G2956" s="357" t="s">
        <v>488</v>
      </c>
      <c r="H2956" s="420" t="s">
        <v>2427</v>
      </c>
      <c r="I2956" s="356">
        <f>I2947</f>
        <v>80.278399999999991</v>
      </c>
      <c r="J2956" s="357" t="s">
        <v>488</v>
      </c>
      <c r="K2956" s="356">
        <f>F2956*I2956</f>
        <v>246.05329599999996</v>
      </c>
    </row>
    <row r="2957" spans="6:11" ht="24" customHeight="1">
      <c r="F2957" s="375">
        <v>0.79800000000000004</v>
      </c>
      <c r="G2957" s="357" t="s">
        <v>480</v>
      </c>
      <c r="H2957" s="356" t="s">
        <v>2428</v>
      </c>
      <c r="I2957" s="356">
        <f>I2948</f>
        <v>1200.9554639999997</v>
      </c>
      <c r="J2957" s="357" t="s">
        <v>480</v>
      </c>
      <c r="K2957" s="356">
        <f>F2957*I2957</f>
        <v>958.36246027199979</v>
      </c>
    </row>
    <row r="2958" spans="6:11" ht="24" customHeight="1">
      <c r="F2958" s="356"/>
      <c r="G2958" s="357"/>
      <c r="H2958" s="361" t="s">
        <v>2429</v>
      </c>
      <c r="I2958" s="362"/>
      <c r="J2958" s="361" t="s">
        <v>2338</v>
      </c>
      <c r="K2958" s="362">
        <f>SUM(K2955:K2957)</f>
        <v>1560.5619922719998</v>
      </c>
    </row>
    <row r="2959" spans="6:11" ht="24" customHeight="1">
      <c r="F2959" s="411"/>
      <c r="G2959" s="357"/>
      <c r="H2959" s="361" t="s">
        <v>2102</v>
      </c>
      <c r="I2959" s="356"/>
      <c r="J2959" s="361" t="s">
        <v>2338</v>
      </c>
      <c r="K2959" s="362">
        <f>K2958/2.1</f>
        <v>743.12475822476176</v>
      </c>
    </row>
    <row r="2960" spans="6:11" ht="24" customHeight="1">
      <c r="F2960" s="375"/>
      <c r="G2960" s="357"/>
      <c r="H2960" s="356"/>
      <c r="I2960" s="356"/>
      <c r="J2960" s="357"/>
      <c r="K2960" s="356"/>
    </row>
    <row r="2961" spans="6:15" ht="24" customHeight="1">
      <c r="F2961" s="356"/>
      <c r="G2961" s="357"/>
      <c r="H2961" s="356"/>
      <c r="I2961" s="356"/>
      <c r="J2961" s="359"/>
      <c r="K2961" s="356"/>
    </row>
    <row r="2962" spans="6:15" ht="24" customHeight="1">
      <c r="F2962" s="356"/>
      <c r="G2962" s="357"/>
      <c r="H2962" s="356"/>
      <c r="I2962" s="356"/>
      <c r="J2962" s="359"/>
      <c r="K2962" s="356"/>
    </row>
    <row r="2963" spans="6:15" ht="24" customHeight="1">
      <c r="F2963" s="356"/>
      <c r="G2963" s="357"/>
      <c r="H2963" s="356"/>
      <c r="I2963" s="356">
        <f>160*10.76</f>
        <v>1721.6</v>
      </c>
      <c r="J2963" s="359"/>
      <c r="K2963" s="356"/>
    </row>
    <row r="2964" spans="6:15" ht="24" customHeight="1">
      <c r="F2964" s="215" t="s">
        <v>1309</v>
      </c>
      <c r="G2964" s="363" t="s">
        <v>67</v>
      </c>
      <c r="H2964" s="214" t="s">
        <v>2390</v>
      </c>
      <c r="I2964" s="356">
        <f>148*10.76</f>
        <v>1592.48</v>
      </c>
      <c r="J2964" s="359"/>
      <c r="K2964" s="356"/>
    </row>
    <row r="2965" spans="6:15" ht="24" customHeight="1">
      <c r="F2965" s="356"/>
      <c r="G2965" s="357"/>
      <c r="H2965" s="214" t="s">
        <v>1311</v>
      </c>
      <c r="I2965" s="356"/>
      <c r="J2965" s="359"/>
      <c r="K2965" s="356"/>
    </row>
    <row r="2966" spans="6:15" ht="24" customHeight="1">
      <c r="F2966" s="356"/>
      <c r="G2966" s="357"/>
      <c r="H2966" s="214" t="s">
        <v>1340</v>
      </c>
      <c r="I2966" s="356"/>
      <c r="J2966" s="359"/>
      <c r="K2966" s="356"/>
    </row>
    <row r="2967" spans="6:15" ht="24" customHeight="1">
      <c r="F2967" s="356"/>
      <c r="G2967" s="357"/>
      <c r="H2967" s="364" t="s">
        <v>48</v>
      </c>
      <c r="I2967" s="411">
        <f>1.4*2.025</f>
        <v>2.8349999999999995</v>
      </c>
      <c r="J2967" s="359"/>
      <c r="K2967" s="356"/>
    </row>
    <row r="2968" spans="6:15" ht="24" customHeight="1">
      <c r="F2968" s="356"/>
      <c r="G2968" s="357"/>
      <c r="H2968" s="214" t="s">
        <v>2433</v>
      </c>
      <c r="I2968" s="356"/>
      <c r="J2968" s="359"/>
      <c r="K2968" s="356"/>
    </row>
    <row r="2969" spans="6:15" ht="24" customHeight="1">
      <c r="F2969" s="356"/>
      <c r="G2969" s="357"/>
      <c r="H2969" s="356"/>
      <c r="I2969" s="356"/>
      <c r="J2969" s="359"/>
      <c r="K2969" s="356"/>
    </row>
    <row r="2970" spans="6:15" ht="44.25" customHeight="1">
      <c r="F2970" s="375">
        <v>1.64</v>
      </c>
      <c r="G2970" s="363" t="s">
        <v>438</v>
      </c>
      <c r="H2970" s="373" t="s">
        <v>2392</v>
      </c>
      <c r="I2970" s="421">
        <f>I2834</f>
        <v>2370</v>
      </c>
      <c r="J2970" s="215" t="s">
        <v>438</v>
      </c>
      <c r="K2970" s="356">
        <f>F2971*I2970</f>
        <v>3886.7999999999997</v>
      </c>
    </row>
    <row r="2971" spans="6:15" ht="24" customHeight="1">
      <c r="F2971" s="398">
        <v>1.64</v>
      </c>
      <c r="G2971" s="363" t="s">
        <v>438</v>
      </c>
      <c r="H2971" s="214" t="s">
        <v>1324</v>
      </c>
      <c r="I2971" s="356">
        <f t="shared" ref="I2971:I2977" si="265">I2835</f>
        <v>161</v>
      </c>
      <c r="J2971" s="215" t="s">
        <v>438</v>
      </c>
      <c r="K2971" s="212">
        <f t="shared" ref="K2971:K2977" si="266">(F2971*I2971)</f>
        <v>264.03999999999996</v>
      </c>
      <c r="O2971" s="214" t="s">
        <v>2390</v>
      </c>
    </row>
    <row r="2972" spans="6:15" ht="24" customHeight="1">
      <c r="F2972" s="212">
        <v>2</v>
      </c>
      <c r="G2972" s="363" t="s">
        <v>196</v>
      </c>
      <c r="H2972" s="214" t="s">
        <v>1325</v>
      </c>
      <c r="I2972" s="356">
        <f t="shared" si="265"/>
        <v>50.9</v>
      </c>
      <c r="J2972" s="215" t="s">
        <v>105</v>
      </c>
      <c r="K2972" s="212">
        <f t="shared" si="266"/>
        <v>101.8</v>
      </c>
      <c r="O2972" s="214" t="s">
        <v>1311</v>
      </c>
    </row>
    <row r="2973" spans="6:15" ht="24" customHeight="1">
      <c r="F2973" s="212">
        <v>3</v>
      </c>
      <c r="G2973" s="363" t="s">
        <v>105</v>
      </c>
      <c r="H2973" s="214" t="s">
        <v>1326</v>
      </c>
      <c r="I2973" s="356">
        <f t="shared" si="265"/>
        <v>79.099999999999994</v>
      </c>
      <c r="J2973" s="215" t="s">
        <v>105</v>
      </c>
      <c r="K2973" s="212">
        <f t="shared" si="266"/>
        <v>237.29999999999998</v>
      </c>
      <c r="O2973" s="214" t="s">
        <v>2434</v>
      </c>
    </row>
    <row r="2974" spans="6:15" ht="24" customHeight="1">
      <c r="F2974" s="212">
        <v>2</v>
      </c>
      <c r="G2974" s="363" t="s">
        <v>105</v>
      </c>
      <c r="H2974" s="214" t="s">
        <v>1328</v>
      </c>
      <c r="I2974" s="356">
        <f t="shared" si="265"/>
        <v>57.2</v>
      </c>
      <c r="J2974" s="215" t="s">
        <v>105</v>
      </c>
      <c r="K2974" s="212">
        <f t="shared" si="266"/>
        <v>114.4</v>
      </c>
      <c r="O2974" s="364" t="s">
        <v>48</v>
      </c>
    </row>
    <row r="2975" spans="6:15" ht="24" customHeight="1">
      <c r="F2975" s="212">
        <v>1</v>
      </c>
      <c r="G2975" s="363" t="s">
        <v>105</v>
      </c>
      <c r="H2975" s="214" t="s">
        <v>1330</v>
      </c>
      <c r="I2975" s="356">
        <f t="shared" si="265"/>
        <v>159.69999999999999</v>
      </c>
      <c r="J2975" s="215" t="s">
        <v>105</v>
      </c>
      <c r="K2975" s="212">
        <f t="shared" si="266"/>
        <v>159.69999999999999</v>
      </c>
      <c r="L2975" s="28" t="s">
        <v>27</v>
      </c>
      <c r="O2975" s="214" t="s">
        <v>2435</v>
      </c>
    </row>
    <row r="2976" spans="6:15" ht="24" customHeight="1">
      <c r="F2976" s="212">
        <v>1</v>
      </c>
      <c r="G2976" s="363" t="s">
        <v>105</v>
      </c>
      <c r="H2976" s="214" t="s">
        <v>1332</v>
      </c>
      <c r="I2976" s="356">
        <f t="shared" si="265"/>
        <v>7.3</v>
      </c>
      <c r="J2976" s="215" t="s">
        <v>105</v>
      </c>
      <c r="K2976" s="212">
        <f t="shared" si="266"/>
        <v>7.3</v>
      </c>
    </row>
    <row r="2977" spans="6:18" ht="39.75" customHeight="1">
      <c r="F2977" s="212">
        <v>1</v>
      </c>
      <c r="G2977" s="363" t="s">
        <v>105</v>
      </c>
      <c r="H2977" s="214" t="s">
        <v>463</v>
      </c>
      <c r="I2977" s="356">
        <f t="shared" si="265"/>
        <v>43.8</v>
      </c>
      <c r="J2977" s="215" t="s">
        <v>105</v>
      </c>
      <c r="K2977" s="212">
        <f t="shared" si="266"/>
        <v>43.8</v>
      </c>
      <c r="M2977" s="375">
        <v>2.2549999999999999</v>
      </c>
      <c r="N2977" s="363" t="s">
        <v>438</v>
      </c>
      <c r="O2977" s="373" t="s">
        <v>2392</v>
      </c>
      <c r="P2977" s="422">
        <f>I2970</f>
        <v>2370</v>
      </c>
      <c r="Q2977" s="215" t="s">
        <v>438</v>
      </c>
      <c r="R2977" s="356">
        <f>M2978*P2977</f>
        <v>5344.3499999999995</v>
      </c>
    </row>
    <row r="2978" spans="6:18" ht="24" customHeight="1">
      <c r="F2978" s="356"/>
      <c r="G2978" s="357"/>
      <c r="H2978" s="356"/>
      <c r="I2978" s="356"/>
      <c r="J2978" s="359"/>
      <c r="K2978" s="368">
        <v>0.63</v>
      </c>
      <c r="M2978" s="398">
        <v>2.2549999999999999</v>
      </c>
      <c r="N2978" s="363" t="s">
        <v>438</v>
      </c>
      <c r="O2978" s="214" t="s">
        <v>1324</v>
      </c>
      <c r="P2978" s="422">
        <f t="shared" ref="P2978:P2984" si="267">I2971</f>
        <v>161</v>
      </c>
      <c r="Q2978" s="215" t="s">
        <v>438</v>
      </c>
      <c r="R2978" s="212">
        <f t="shared" ref="R2978:R2984" si="268">(M2978*P2978)</f>
        <v>363.05500000000001</v>
      </c>
    </row>
    <row r="2979" spans="6:18" ht="24" customHeight="1">
      <c r="F2979" s="356"/>
      <c r="G2979" s="357"/>
      <c r="H2979" s="214" t="s">
        <v>2436</v>
      </c>
      <c r="I2979" s="356"/>
      <c r="J2979" s="359"/>
      <c r="K2979" s="212">
        <f>SUM(K2970:K2978)</f>
        <v>4815.7700000000004</v>
      </c>
      <c r="M2979" s="212">
        <v>2</v>
      </c>
      <c r="N2979" s="363" t="s">
        <v>196</v>
      </c>
      <c r="O2979" s="214" t="s">
        <v>1325</v>
      </c>
      <c r="P2979" s="422">
        <f t="shared" si="267"/>
        <v>50.9</v>
      </c>
      <c r="Q2979" s="215" t="s">
        <v>105</v>
      </c>
      <c r="R2979" s="212">
        <f t="shared" si="268"/>
        <v>101.8</v>
      </c>
    </row>
    <row r="2980" spans="6:18" ht="24" customHeight="1">
      <c r="F2980" s="356"/>
      <c r="G2980" s="357"/>
      <c r="H2980" s="356"/>
      <c r="I2980" s="356"/>
      <c r="J2980" s="359"/>
      <c r="K2980" s="364" t="s">
        <v>48</v>
      </c>
      <c r="M2980" s="212">
        <v>3</v>
      </c>
      <c r="N2980" s="363" t="s">
        <v>105</v>
      </c>
      <c r="O2980" s="214" t="s">
        <v>1326</v>
      </c>
      <c r="P2980" s="422">
        <f t="shared" si="267"/>
        <v>79.099999999999994</v>
      </c>
      <c r="Q2980" s="215" t="s">
        <v>105</v>
      </c>
      <c r="R2980" s="212">
        <f t="shared" si="268"/>
        <v>237.29999999999998</v>
      </c>
    </row>
    <row r="2981" spans="6:18" ht="24" customHeight="1">
      <c r="F2981" s="356"/>
      <c r="G2981" s="357"/>
      <c r="H2981" s="214" t="s">
        <v>403</v>
      </c>
      <c r="I2981" s="356"/>
      <c r="J2981" s="359"/>
      <c r="K2981" s="212">
        <f>K2979/F2971</f>
        <v>2936.4451219512198</v>
      </c>
      <c r="M2981" s="212">
        <v>2</v>
      </c>
      <c r="N2981" s="363" t="s">
        <v>105</v>
      </c>
      <c r="O2981" s="214" t="s">
        <v>1328</v>
      </c>
      <c r="P2981" s="422">
        <f t="shared" si="267"/>
        <v>57.2</v>
      </c>
      <c r="Q2981" s="215" t="s">
        <v>105</v>
      </c>
      <c r="R2981" s="212">
        <f t="shared" si="268"/>
        <v>114.4</v>
      </c>
    </row>
    <row r="2982" spans="6:18" ht="24" customHeight="1">
      <c r="F2982" s="214" t="s">
        <v>27</v>
      </c>
      <c r="G2982" s="357"/>
      <c r="H2982" s="356"/>
      <c r="I2982" s="356"/>
      <c r="J2982" s="359"/>
      <c r="K2982" s="356"/>
      <c r="M2982" s="212">
        <v>1</v>
      </c>
      <c r="N2982" s="363" t="s">
        <v>105</v>
      </c>
      <c r="O2982" s="214" t="s">
        <v>1330</v>
      </c>
      <c r="P2982" s="422">
        <f t="shared" si="267"/>
        <v>159.69999999999999</v>
      </c>
      <c r="Q2982" s="215" t="s">
        <v>105</v>
      </c>
      <c r="R2982" s="212">
        <f t="shared" si="268"/>
        <v>159.69999999999999</v>
      </c>
    </row>
    <row r="2983" spans="6:18" ht="24" customHeight="1">
      <c r="F2983" s="356"/>
      <c r="G2983" s="357"/>
      <c r="H2983" s="356"/>
      <c r="I2983" s="356"/>
      <c r="J2983" s="359"/>
      <c r="K2983" s="356"/>
      <c r="M2983" s="212">
        <v>1</v>
      </c>
      <c r="N2983" s="363" t="s">
        <v>105</v>
      </c>
      <c r="O2983" s="214" t="s">
        <v>1332</v>
      </c>
      <c r="P2983" s="422">
        <f t="shared" si="267"/>
        <v>7.3</v>
      </c>
      <c r="Q2983" s="215" t="s">
        <v>105</v>
      </c>
      <c r="R2983" s="212">
        <f t="shared" si="268"/>
        <v>7.3</v>
      </c>
    </row>
    <row r="2984" spans="6:18" ht="24" customHeight="1">
      <c r="F2984" s="381" t="s">
        <v>2437</v>
      </c>
      <c r="G2984" s="384"/>
      <c r="H2984" s="381"/>
      <c r="I2984" s="381"/>
      <c r="J2984" s="382"/>
      <c r="K2984" s="381"/>
      <c r="M2984" s="212">
        <v>1</v>
      </c>
      <c r="N2984" s="363" t="s">
        <v>105</v>
      </c>
      <c r="O2984" s="214" t="s">
        <v>463</v>
      </c>
      <c r="P2984" s="422">
        <f t="shared" si="267"/>
        <v>43.8</v>
      </c>
      <c r="Q2984" s="215" t="s">
        <v>105</v>
      </c>
      <c r="R2984" s="212">
        <f t="shared" si="268"/>
        <v>43.8</v>
      </c>
    </row>
    <row r="2985" spans="6:18" ht="24" customHeight="1">
      <c r="F2985" s="381"/>
      <c r="G2985" s="384"/>
      <c r="H2985" s="381"/>
      <c r="I2985" s="381"/>
      <c r="J2985" s="382"/>
      <c r="K2985" s="381"/>
      <c r="M2985" s="356"/>
      <c r="N2985" s="357"/>
      <c r="O2985" s="356"/>
      <c r="P2985" s="356"/>
      <c r="Q2985" s="359"/>
      <c r="R2985" s="364" t="s">
        <v>48</v>
      </c>
    </row>
    <row r="2986" spans="6:18" ht="24" customHeight="1">
      <c r="F2986" s="381" t="s">
        <v>2438</v>
      </c>
      <c r="G2986" s="384"/>
      <c r="H2986" s="381"/>
      <c r="I2986" s="381"/>
      <c r="J2986" s="382"/>
      <c r="K2986" s="381"/>
      <c r="M2986" s="356"/>
      <c r="N2986" s="357"/>
      <c r="O2986" s="214" t="s">
        <v>2439</v>
      </c>
      <c r="P2986" s="356"/>
      <c r="Q2986" s="359"/>
      <c r="R2986" s="212">
        <f>SUM(R2977:R2984)+0.17</f>
        <v>6371.875</v>
      </c>
    </row>
    <row r="2987" spans="6:18" ht="24" customHeight="1">
      <c r="F2987" s="381"/>
      <c r="G2987" s="384"/>
      <c r="H2987" s="381"/>
      <c r="I2987" s="381"/>
      <c r="J2987" s="382"/>
      <c r="K2987" s="381"/>
      <c r="M2987" s="356"/>
      <c r="N2987" s="357"/>
      <c r="O2987" s="356"/>
      <c r="P2987" s="356"/>
      <c r="Q2987" s="359"/>
      <c r="R2987" s="364" t="s">
        <v>48</v>
      </c>
    </row>
    <row r="2988" spans="6:18" ht="24" customHeight="1">
      <c r="F2988" s="381"/>
      <c r="G2988" s="423">
        <v>0.99350000000000005</v>
      </c>
      <c r="H2988" s="381" t="s">
        <v>249</v>
      </c>
      <c r="I2988" s="381"/>
      <c r="J2988" s="382"/>
      <c r="K2988" s="381"/>
      <c r="M2988" s="356"/>
      <c r="N2988" s="357"/>
      <c r="O2988" s="214" t="s">
        <v>403</v>
      </c>
      <c r="P2988" s="356"/>
      <c r="Q2988" s="359"/>
      <c r="R2988" s="212">
        <f>R2986/M2978</f>
        <v>2825.6651884700668</v>
      </c>
    </row>
    <row r="2989" spans="6:18" ht="24" customHeight="1">
      <c r="F2989" s="381"/>
      <c r="G2989" s="384"/>
      <c r="H2989" s="381"/>
      <c r="I2989" s="381"/>
      <c r="J2989" s="382"/>
      <c r="K2989" s="381"/>
    </row>
    <row r="2990" spans="6:18" ht="24" customHeight="1">
      <c r="F2990" s="391" t="s">
        <v>2365</v>
      </c>
      <c r="G2990" s="384"/>
      <c r="H2990" s="381"/>
      <c r="I2990" s="381"/>
      <c r="J2990" s="382"/>
      <c r="K2990" s="381"/>
    </row>
    <row r="2991" spans="6:18" ht="24" customHeight="1">
      <c r="F2991" s="381"/>
      <c r="G2991" s="384"/>
      <c r="H2991" s="381"/>
      <c r="I2991" s="381"/>
      <c r="J2991" s="382"/>
      <c r="K2991" s="381"/>
    </row>
    <row r="2992" spans="6:18" ht="24" customHeight="1">
      <c r="F2992" s="424">
        <v>0.42</v>
      </c>
      <c r="G2992" s="384" t="s">
        <v>249</v>
      </c>
      <c r="H2992" s="381" t="s">
        <v>2440</v>
      </c>
      <c r="I2992" s="381">
        <f>K817</f>
        <v>10252.547999999999</v>
      </c>
      <c r="J2992" s="387" t="s">
        <v>249</v>
      </c>
      <c r="K2992" s="381">
        <f>F2992*I2992</f>
        <v>4306.0701599999993</v>
      </c>
    </row>
    <row r="2993" spans="6:11" ht="24" customHeight="1">
      <c r="F2993" s="381">
        <v>0.25</v>
      </c>
      <c r="G2993" s="384" t="s">
        <v>1130</v>
      </c>
      <c r="H2993" s="381" t="s">
        <v>970</v>
      </c>
      <c r="I2993" s="381">
        <f>C11</f>
        <v>1005.1999999999999</v>
      </c>
      <c r="J2993" s="387" t="s">
        <v>793</v>
      </c>
      <c r="K2993" s="381">
        <f>F2993*I2993</f>
        <v>251.29999999999998</v>
      </c>
    </row>
    <row r="2994" spans="6:11" ht="24" customHeight="1">
      <c r="F2994" s="381">
        <v>3.5</v>
      </c>
      <c r="G2994" s="384" t="s">
        <v>969</v>
      </c>
      <c r="H2994" s="381" t="s">
        <v>1450</v>
      </c>
      <c r="I2994" s="381">
        <f>C12</f>
        <v>702.8</v>
      </c>
      <c r="J2994" s="387" t="s">
        <v>793</v>
      </c>
      <c r="K2994" s="381">
        <f>F2994*I2994</f>
        <v>2459.7999999999997</v>
      </c>
    </row>
    <row r="2995" spans="6:11" ht="24" customHeight="1">
      <c r="F2995" s="425">
        <v>32.1</v>
      </c>
      <c r="G2995" s="426" t="s">
        <v>392</v>
      </c>
      <c r="H2995" s="425" t="s">
        <v>2441</v>
      </c>
      <c r="I2995" s="381"/>
      <c r="J2995" s="387"/>
      <c r="K2995" s="381">
        <f>(F2995*I2995)/1000</f>
        <v>0</v>
      </c>
    </row>
    <row r="2996" spans="6:11" ht="24" customHeight="1">
      <c r="F2996" s="381"/>
      <c r="G2996" s="381" t="s">
        <v>2370</v>
      </c>
      <c r="H2996" s="381" t="s">
        <v>2371</v>
      </c>
      <c r="I2996" s="381"/>
      <c r="J2996" s="387" t="s">
        <v>2200</v>
      </c>
      <c r="K2996" s="381">
        <f>(K2993+K2994)*10%</f>
        <v>271.11</v>
      </c>
    </row>
    <row r="2997" spans="6:11" ht="24" customHeight="1">
      <c r="F2997" s="381"/>
      <c r="G2997" s="384"/>
      <c r="H2997" s="381"/>
      <c r="I2997" s="381"/>
      <c r="J2997" s="382"/>
      <c r="K2997" s="381" t="s">
        <v>2373</v>
      </c>
    </row>
    <row r="2998" spans="6:11" ht="24" customHeight="1">
      <c r="F2998" s="381"/>
      <c r="G2998" s="384"/>
      <c r="H2998" s="381"/>
      <c r="I2998" s="381"/>
      <c r="J2998" s="382"/>
      <c r="K2998" s="381"/>
    </row>
    <row r="2999" spans="6:11" ht="24" customHeight="1">
      <c r="F2999" s="381"/>
      <c r="G2999" s="384"/>
      <c r="H2999" s="381"/>
      <c r="I2999" s="381" t="s">
        <v>2442</v>
      </c>
      <c r="J2999" s="382"/>
      <c r="K2999" s="381">
        <f>SUM(K2992:K2996)</f>
        <v>7288.2801599999993</v>
      </c>
    </row>
    <row r="3000" spans="6:11" ht="24" customHeight="1">
      <c r="F3000" s="381"/>
      <c r="G3000" s="384"/>
      <c r="H3000" s="381"/>
      <c r="I3000" s="381"/>
      <c r="J3000" s="382"/>
      <c r="K3000" s="381"/>
    </row>
    <row r="3001" spans="6:11" ht="24" customHeight="1">
      <c r="F3001" s="381"/>
      <c r="G3001" s="384"/>
      <c r="H3001" s="381"/>
      <c r="I3001" s="381" t="s">
        <v>2375</v>
      </c>
      <c r="J3001" s="382"/>
      <c r="K3001" s="381">
        <f>K2999/3.5</f>
        <v>2082.3657599999997</v>
      </c>
    </row>
    <row r="3002" spans="6:11" ht="24" customHeight="1">
      <c r="F3002" s="381"/>
      <c r="G3002" s="380" t="s">
        <v>2443</v>
      </c>
      <c r="H3002" s="381"/>
      <c r="I3002" s="381"/>
      <c r="J3002" s="382"/>
      <c r="K3002" s="381"/>
    </row>
    <row r="3003" spans="6:11" ht="24" customHeight="1">
      <c r="F3003" s="356"/>
      <c r="G3003" s="357"/>
      <c r="H3003" s="356"/>
      <c r="I3003" s="356"/>
      <c r="J3003" s="359"/>
      <c r="K3003" s="356"/>
    </row>
    <row r="3004" spans="6:11" ht="42" customHeight="1">
      <c r="F3004" s="356">
        <v>1</v>
      </c>
      <c r="G3004" s="384" t="s">
        <v>249</v>
      </c>
      <c r="H3004" s="356" t="s">
        <v>24</v>
      </c>
      <c r="I3004" s="356">
        <f>AE38</f>
        <v>210</v>
      </c>
      <c r="J3004" s="387" t="s">
        <v>249</v>
      </c>
      <c r="K3004" s="381">
        <f>F3004*I3004</f>
        <v>210</v>
      </c>
    </row>
    <row r="3005" spans="6:11" ht="24" customHeight="1">
      <c r="F3005" s="356">
        <v>1</v>
      </c>
      <c r="G3005" s="384" t="s">
        <v>249</v>
      </c>
      <c r="H3005" s="356" t="s">
        <v>2444</v>
      </c>
      <c r="I3005" s="356">
        <f>AG28</f>
        <v>41.019999999999996</v>
      </c>
      <c r="J3005" s="387" t="s">
        <v>249</v>
      </c>
      <c r="K3005" s="381">
        <f>F3005*I3005</f>
        <v>41.019999999999996</v>
      </c>
    </row>
    <row r="3006" spans="6:11" ht="24" customHeight="1">
      <c r="F3006" s="356"/>
      <c r="G3006" s="357"/>
      <c r="H3006" s="356"/>
      <c r="I3006" s="356"/>
      <c r="J3006" s="359"/>
      <c r="K3006" s="362">
        <f>SUM(K3004:K3005)</f>
        <v>251.01999999999998</v>
      </c>
    </row>
    <row r="3008" spans="6:11" ht="24" customHeight="1">
      <c r="H3008" s="29" t="s">
        <v>2445</v>
      </c>
      <c r="I3008" s="276"/>
      <c r="J3008" s="33"/>
    </row>
    <row r="3009" spans="8:11" ht="32.25" customHeight="1">
      <c r="H3009" s="276" t="s">
        <v>2446</v>
      </c>
      <c r="I3009" s="356">
        <f>C764</f>
        <v>1000</v>
      </c>
      <c r="J3009" s="33" t="s">
        <v>1600</v>
      </c>
      <c r="K3009" s="105">
        <f>I3009</f>
        <v>1000</v>
      </c>
    </row>
    <row r="3010" spans="8:11" ht="24" customHeight="1">
      <c r="J3010" s="33"/>
      <c r="K3010" s="137"/>
    </row>
    <row r="3011" spans="8:11" ht="24" customHeight="1">
      <c r="J3011" s="33"/>
      <c r="K3011" s="137"/>
    </row>
    <row r="3012" spans="8:11" ht="24" customHeight="1">
      <c r="H3012" s="28" t="s">
        <v>2447</v>
      </c>
      <c r="I3012" s="305">
        <v>466.6</v>
      </c>
      <c r="J3012" s="33" t="s">
        <v>1600</v>
      </c>
      <c r="K3012" s="105">
        <f>I3012</f>
        <v>466.6</v>
      </c>
    </row>
    <row r="3013" spans="8:11" ht="24" customHeight="1">
      <c r="I3013" s="105"/>
      <c r="J3013" s="33"/>
      <c r="K3013" s="105"/>
    </row>
    <row r="3014" spans="8:11" ht="24" customHeight="1">
      <c r="H3014" s="28" t="s">
        <v>2448</v>
      </c>
      <c r="I3014" s="305">
        <v>375.7</v>
      </c>
      <c r="J3014" s="33" t="s">
        <v>1600</v>
      </c>
      <c r="K3014" s="105">
        <f>I3014</f>
        <v>375.7</v>
      </c>
    </row>
    <row r="3015" spans="8:11" ht="24" customHeight="1">
      <c r="J3015" s="33"/>
      <c r="K3015" s="105"/>
    </row>
    <row r="3016" spans="8:11" ht="24" customHeight="1">
      <c r="H3016" s="28" t="s">
        <v>2449</v>
      </c>
      <c r="J3016" s="33"/>
      <c r="K3016" s="137"/>
    </row>
    <row r="3017" spans="8:11" ht="24" customHeight="1">
      <c r="H3017" s="28" t="s">
        <v>2450</v>
      </c>
      <c r="I3017" s="305">
        <v>847</v>
      </c>
      <c r="J3017" s="33" t="s">
        <v>1600</v>
      </c>
      <c r="K3017" s="105">
        <f>I3017</f>
        <v>847</v>
      </c>
    </row>
    <row r="3018" spans="8:11" ht="24" customHeight="1">
      <c r="H3018" s="26" t="s">
        <v>2451</v>
      </c>
      <c r="I3018" s="301">
        <f>K2291</f>
        <v>1770</v>
      </c>
      <c r="J3018" s="33"/>
      <c r="K3018" s="301">
        <f>I3018</f>
        <v>1770</v>
      </c>
    </row>
    <row r="3019" spans="8:11" ht="24" customHeight="1">
      <c r="J3019" s="33"/>
    </row>
    <row r="3020" spans="8:11" ht="44.25" customHeight="1">
      <c r="J3020" s="33"/>
    </row>
    <row r="3021" spans="8:11" ht="68.25" customHeight="1">
      <c r="J3021" s="33"/>
    </row>
    <row r="3022" spans="8:11" ht="24" customHeight="1">
      <c r="J3022" s="33"/>
    </row>
    <row r="3023" spans="8:11" ht="24" customHeight="1">
      <c r="I3023" s="137"/>
      <c r="J3023" s="33"/>
    </row>
    <row r="3024" spans="8:11" ht="24" customHeight="1">
      <c r="J3024" s="33"/>
    </row>
    <row r="3025" spans="8:11" ht="24" customHeight="1">
      <c r="H3025" s="117"/>
      <c r="J3025" s="33"/>
    </row>
    <row r="3026" spans="8:11" ht="24" customHeight="1">
      <c r="J3026" s="33"/>
    </row>
    <row r="3027" spans="8:11" ht="24" customHeight="1">
      <c r="H3027" s="218"/>
      <c r="I3027" s="41"/>
      <c r="J3027" s="312"/>
      <c r="K3027" s="41"/>
    </row>
    <row r="3030" spans="8:11" ht="24" customHeight="1">
      <c r="H3030" s="28" t="s">
        <v>2452</v>
      </c>
    </row>
    <row r="3031" spans="8:11" ht="24" customHeight="1">
      <c r="H3031" s="28" t="s">
        <v>2453</v>
      </c>
      <c r="J3031" s="31" t="s">
        <v>793</v>
      </c>
      <c r="K3031" s="304">
        <v>130</v>
      </c>
    </row>
    <row r="3032" spans="8:11" ht="24" customHeight="1">
      <c r="K3032" s="139"/>
    </row>
    <row r="3033" spans="8:11" ht="24" customHeight="1">
      <c r="H3033" s="28" t="s">
        <v>2454</v>
      </c>
      <c r="J3033" s="31" t="s">
        <v>793</v>
      </c>
      <c r="K3033" s="304">
        <v>170</v>
      </c>
    </row>
    <row r="3034" spans="8:11" ht="24" customHeight="1">
      <c r="K3034" s="139"/>
    </row>
    <row r="3035" spans="8:11" ht="24" customHeight="1">
      <c r="K3035" s="139"/>
    </row>
    <row r="3036" spans="8:11" ht="24" customHeight="1">
      <c r="H3036" s="26" t="s">
        <v>2455</v>
      </c>
      <c r="J3036" s="31" t="s">
        <v>793</v>
      </c>
      <c r="K3036" s="208">
        <v>443</v>
      </c>
    </row>
    <row r="3037" spans="8:11" ht="24" customHeight="1">
      <c r="K3037" s="139"/>
    </row>
    <row r="3038" spans="8:11" ht="45" customHeight="1">
      <c r="H3038" s="88" t="s">
        <v>2456</v>
      </c>
      <c r="J3038" s="31" t="s">
        <v>793</v>
      </c>
      <c r="K3038" s="48">
        <f>[2]Elec.Data!K3767</f>
        <v>1300</v>
      </c>
    </row>
    <row r="3040" spans="8:11" ht="41.25" customHeight="1"/>
    <row r="3041" spans="6:18" ht="24" customHeight="1">
      <c r="H3041" s="28" t="s">
        <v>2449</v>
      </c>
      <c r="J3041" s="31" t="s">
        <v>793</v>
      </c>
      <c r="K3041" s="137">
        <f>K3017</f>
        <v>847</v>
      </c>
    </row>
    <row r="3042" spans="6:18" ht="24" customHeight="1">
      <c r="H3042" s="28" t="s">
        <v>2457</v>
      </c>
    </row>
    <row r="3044" spans="6:18" ht="24" customHeight="1">
      <c r="F3044" s="28">
        <v>0.5</v>
      </c>
      <c r="H3044" s="28" t="s">
        <v>2458</v>
      </c>
      <c r="J3044" s="31">
        <f>C15</f>
        <v>933.8</v>
      </c>
      <c r="K3044" s="28">
        <f>J3044*F3044</f>
        <v>466.9</v>
      </c>
    </row>
    <row r="3045" spans="6:18" ht="24" customHeight="1">
      <c r="F3045" s="28">
        <v>0.5</v>
      </c>
      <c r="H3045" s="28" t="s">
        <v>1450</v>
      </c>
      <c r="J3045" s="31">
        <f>C12</f>
        <v>702.8</v>
      </c>
      <c r="K3045" s="28">
        <f>J3045*F3045</f>
        <v>351.4</v>
      </c>
    </row>
    <row r="3046" spans="6:18" ht="24" customHeight="1">
      <c r="I3046" s="716" t="s">
        <v>2459</v>
      </c>
      <c r="J3046" s="716"/>
      <c r="K3046" s="41">
        <f>SUM(K3041:K3045)</f>
        <v>1665.3000000000002</v>
      </c>
    </row>
    <row r="3049" spans="6:18" ht="24" customHeight="1">
      <c r="F3049" s="215" t="s">
        <v>1309</v>
      </c>
      <c r="G3049" s="363" t="s">
        <v>67</v>
      </c>
      <c r="H3049" s="214" t="s">
        <v>2390</v>
      </c>
      <c r="I3049" s="356"/>
      <c r="J3049" s="359"/>
      <c r="K3049" s="356"/>
    </row>
    <row r="3050" spans="6:18" ht="24" customHeight="1">
      <c r="F3050" s="356"/>
      <c r="G3050" s="357"/>
      <c r="H3050" s="214" t="s">
        <v>1311</v>
      </c>
      <c r="I3050" s="356"/>
      <c r="J3050" s="359"/>
      <c r="K3050" s="356"/>
    </row>
    <row r="3051" spans="6:18" ht="24" customHeight="1">
      <c r="F3051" s="356"/>
      <c r="G3051" s="357"/>
      <c r="H3051" s="214" t="s">
        <v>2460</v>
      </c>
      <c r="I3051" s="356"/>
      <c r="J3051" s="359"/>
      <c r="K3051" s="356"/>
    </row>
    <row r="3052" spans="6:18" ht="24" customHeight="1">
      <c r="F3052" s="356"/>
      <c r="G3052" s="357"/>
      <c r="H3052" s="364" t="s">
        <v>48</v>
      </c>
      <c r="I3052" s="356"/>
      <c r="J3052" s="359"/>
      <c r="K3052" s="356"/>
    </row>
    <row r="3053" spans="6:18" ht="24" customHeight="1">
      <c r="F3053" s="356"/>
      <c r="G3053" s="357"/>
      <c r="H3053" s="214" t="s">
        <v>2461</v>
      </c>
      <c r="I3053" s="356"/>
      <c r="J3053" s="359"/>
      <c r="K3053" s="356"/>
    </row>
    <row r="3054" spans="6:18" ht="24" customHeight="1">
      <c r="F3054" s="356"/>
      <c r="G3054" s="357"/>
      <c r="H3054" s="356"/>
      <c r="I3054" s="356"/>
      <c r="J3054" s="359"/>
      <c r="K3054" s="356"/>
    </row>
    <row r="3055" spans="6:18" ht="38.25" customHeight="1">
      <c r="F3055" s="411">
        <v>2.2275</v>
      </c>
      <c r="G3055" s="363" t="s">
        <v>438</v>
      </c>
      <c r="H3055" s="373" t="s">
        <v>2392</v>
      </c>
      <c r="I3055" s="422">
        <f>I2834</f>
        <v>2370</v>
      </c>
      <c r="J3055" s="215" t="s">
        <v>438</v>
      </c>
      <c r="K3055" s="356">
        <f>F3056*I3055</f>
        <v>5279.1750000000002</v>
      </c>
    </row>
    <row r="3056" spans="6:18" ht="24" customHeight="1">
      <c r="F3056" s="404">
        <f>F3055</f>
        <v>2.2275</v>
      </c>
      <c r="G3056" s="363" t="s">
        <v>438</v>
      </c>
      <c r="H3056" s="365" t="s">
        <v>1324</v>
      </c>
      <c r="I3056" s="368">
        <f>I2867</f>
        <v>248</v>
      </c>
      <c r="J3056" s="215" t="s">
        <v>438</v>
      </c>
      <c r="K3056" s="212">
        <f t="shared" ref="K3056:K3062" si="269">(F3056*I3056)</f>
        <v>552.41999999999996</v>
      </c>
      <c r="M3056" s="215" t="s">
        <v>1309</v>
      </c>
      <c r="N3056" s="363" t="s">
        <v>67</v>
      </c>
      <c r="O3056" s="214" t="s">
        <v>2390</v>
      </c>
      <c r="P3056" s="356"/>
      <c r="Q3056" s="359"/>
      <c r="R3056" s="356"/>
    </row>
    <row r="3057" spans="6:18" ht="24" customHeight="1">
      <c r="F3057" s="212">
        <v>4</v>
      </c>
      <c r="G3057" s="363" t="s">
        <v>196</v>
      </c>
      <c r="H3057" s="214" t="s">
        <v>1325</v>
      </c>
      <c r="I3057" s="422">
        <f t="shared" ref="I3057:I3062" si="270">I2972</f>
        <v>50.9</v>
      </c>
      <c r="J3057" s="215" t="s">
        <v>105</v>
      </c>
      <c r="K3057" s="212">
        <f t="shared" si="269"/>
        <v>203.6</v>
      </c>
      <c r="M3057" s="356"/>
      <c r="N3057" s="357"/>
      <c r="O3057" s="214" t="s">
        <v>1311</v>
      </c>
      <c r="P3057" s="356"/>
      <c r="Q3057" s="359"/>
      <c r="R3057" s="356"/>
    </row>
    <row r="3058" spans="6:18" ht="24" customHeight="1">
      <c r="F3058" s="212">
        <v>6</v>
      </c>
      <c r="G3058" s="363" t="s">
        <v>105</v>
      </c>
      <c r="H3058" s="214" t="s">
        <v>1326</v>
      </c>
      <c r="I3058" s="422">
        <f t="shared" si="270"/>
        <v>79.099999999999994</v>
      </c>
      <c r="J3058" s="215" t="s">
        <v>105</v>
      </c>
      <c r="K3058" s="212">
        <f t="shared" si="269"/>
        <v>474.59999999999997</v>
      </c>
      <c r="M3058" s="356"/>
      <c r="N3058" s="357"/>
      <c r="O3058" s="214" t="s">
        <v>2462</v>
      </c>
      <c r="P3058" s="356"/>
      <c r="Q3058" s="359"/>
      <c r="R3058" s="356"/>
    </row>
    <row r="3059" spans="6:18" ht="24" customHeight="1">
      <c r="F3059" s="212">
        <v>4</v>
      </c>
      <c r="G3059" s="363" t="s">
        <v>105</v>
      </c>
      <c r="H3059" s="214" t="s">
        <v>1328</v>
      </c>
      <c r="I3059" s="422">
        <f t="shared" si="270"/>
        <v>57.2</v>
      </c>
      <c r="J3059" s="215" t="s">
        <v>105</v>
      </c>
      <c r="K3059" s="212">
        <f t="shared" si="269"/>
        <v>228.8</v>
      </c>
      <c r="M3059" s="356"/>
      <c r="N3059" s="357"/>
      <c r="O3059" s="364" t="s">
        <v>48</v>
      </c>
      <c r="P3059" s="356"/>
      <c r="Q3059" s="359"/>
      <c r="R3059" s="356"/>
    </row>
    <row r="3060" spans="6:18" ht="24" customHeight="1">
      <c r="F3060" s="212">
        <v>1</v>
      </c>
      <c r="G3060" s="363" t="s">
        <v>105</v>
      </c>
      <c r="H3060" s="214" t="s">
        <v>1330</v>
      </c>
      <c r="I3060" s="422">
        <f t="shared" si="270"/>
        <v>159.69999999999999</v>
      </c>
      <c r="J3060" s="215" t="s">
        <v>105</v>
      </c>
      <c r="K3060" s="212">
        <f t="shared" si="269"/>
        <v>159.69999999999999</v>
      </c>
      <c r="M3060" s="356"/>
      <c r="N3060" s="357"/>
      <c r="O3060" s="214" t="s">
        <v>2463</v>
      </c>
      <c r="P3060" s="356"/>
      <c r="Q3060" s="359"/>
      <c r="R3060" s="356"/>
    </row>
    <row r="3061" spans="6:18" ht="24" customHeight="1">
      <c r="F3061" s="212">
        <v>2</v>
      </c>
      <c r="G3061" s="363" t="s">
        <v>105</v>
      </c>
      <c r="H3061" s="214" t="s">
        <v>1332</v>
      </c>
      <c r="I3061" s="422">
        <f t="shared" si="270"/>
        <v>7.3</v>
      </c>
      <c r="J3061" s="215" t="s">
        <v>105</v>
      </c>
      <c r="K3061" s="212">
        <f t="shared" si="269"/>
        <v>14.6</v>
      </c>
      <c r="M3061" s="356"/>
      <c r="N3061" s="357"/>
      <c r="O3061" s="356"/>
      <c r="P3061" s="356"/>
      <c r="Q3061" s="359"/>
      <c r="R3061" s="356"/>
    </row>
    <row r="3062" spans="6:18" ht="33.75" customHeight="1">
      <c r="F3062" s="212">
        <v>2</v>
      </c>
      <c r="G3062" s="363" t="s">
        <v>105</v>
      </c>
      <c r="H3062" s="214" t="s">
        <v>463</v>
      </c>
      <c r="I3062" s="422">
        <f t="shared" si="270"/>
        <v>43.8</v>
      </c>
      <c r="J3062" s="215" t="s">
        <v>105</v>
      </c>
      <c r="K3062" s="212">
        <f t="shared" si="269"/>
        <v>87.6</v>
      </c>
      <c r="M3062" s="375">
        <v>3.29</v>
      </c>
      <c r="N3062" s="363" t="s">
        <v>438</v>
      </c>
      <c r="O3062" s="373" t="s">
        <v>2392</v>
      </c>
      <c r="P3062" s="422">
        <f>I3055</f>
        <v>2370</v>
      </c>
      <c r="Q3062" s="215" t="s">
        <v>438</v>
      </c>
      <c r="R3062" s="356">
        <f>M3063*P3062</f>
        <v>7797.3</v>
      </c>
    </row>
    <row r="3063" spans="6:18" ht="33.75" customHeight="1">
      <c r="F3063" s="356"/>
      <c r="G3063" s="357"/>
      <c r="H3063" s="356"/>
      <c r="I3063" s="356"/>
      <c r="J3063" s="359"/>
      <c r="K3063" s="368">
        <v>0.2</v>
      </c>
      <c r="M3063" s="398">
        <v>3.29</v>
      </c>
      <c r="N3063" s="363" t="s">
        <v>438</v>
      </c>
      <c r="O3063" s="214" t="s">
        <v>1324</v>
      </c>
      <c r="P3063" s="422">
        <f t="shared" ref="P3063:P3069" si="271">I3056</f>
        <v>248</v>
      </c>
      <c r="Q3063" s="215" t="s">
        <v>438</v>
      </c>
      <c r="R3063" s="212">
        <f t="shared" ref="R3063:R3069" si="272">(M3063*P3063)</f>
        <v>815.92</v>
      </c>
    </row>
    <row r="3064" spans="6:18" ht="24" customHeight="1">
      <c r="F3064" s="356"/>
      <c r="G3064" s="357"/>
      <c r="H3064" s="214" t="s">
        <v>2464</v>
      </c>
      <c r="I3064" s="356"/>
      <c r="J3064" s="359"/>
      <c r="K3064" s="212">
        <f>SUM(K3055:K3063)</f>
        <v>7000.6950000000015</v>
      </c>
      <c r="M3064" s="212">
        <v>4</v>
      </c>
      <c r="N3064" s="363" t="s">
        <v>196</v>
      </c>
      <c r="O3064" s="214" t="s">
        <v>1325</v>
      </c>
      <c r="P3064" s="422">
        <f t="shared" si="271"/>
        <v>50.9</v>
      </c>
      <c r="Q3064" s="215" t="s">
        <v>105</v>
      </c>
      <c r="R3064" s="212">
        <f t="shared" si="272"/>
        <v>203.6</v>
      </c>
    </row>
    <row r="3065" spans="6:18" ht="24" customHeight="1">
      <c r="F3065" s="356"/>
      <c r="G3065" s="357"/>
      <c r="H3065" s="356"/>
      <c r="I3065" s="356"/>
      <c r="J3065" s="359"/>
      <c r="K3065" s="364" t="s">
        <v>48</v>
      </c>
      <c r="M3065" s="212">
        <v>6</v>
      </c>
      <c r="N3065" s="363" t="s">
        <v>105</v>
      </c>
      <c r="O3065" s="214" t="s">
        <v>1326</v>
      </c>
      <c r="P3065" s="422">
        <f t="shared" si="271"/>
        <v>79.099999999999994</v>
      </c>
      <c r="Q3065" s="215" t="s">
        <v>105</v>
      </c>
      <c r="R3065" s="212">
        <f t="shared" si="272"/>
        <v>474.59999999999997</v>
      </c>
    </row>
    <row r="3066" spans="6:18" ht="24" customHeight="1">
      <c r="F3066" s="356"/>
      <c r="G3066" s="357"/>
      <c r="H3066" s="214" t="s">
        <v>403</v>
      </c>
      <c r="I3066" s="356"/>
      <c r="J3066" s="359"/>
      <c r="K3066" s="212">
        <f>K3064/F3056</f>
        <v>3142.8484848484854</v>
      </c>
      <c r="M3066" s="212">
        <v>4</v>
      </c>
      <c r="N3066" s="363" t="s">
        <v>105</v>
      </c>
      <c r="O3066" s="214" t="s">
        <v>1328</v>
      </c>
      <c r="P3066" s="422">
        <f t="shared" si="271"/>
        <v>57.2</v>
      </c>
      <c r="Q3066" s="215" t="s">
        <v>105</v>
      </c>
      <c r="R3066" s="212">
        <f t="shared" si="272"/>
        <v>228.8</v>
      </c>
    </row>
    <row r="3067" spans="6:18" ht="24" customHeight="1">
      <c r="M3067" s="212">
        <v>1</v>
      </c>
      <c r="N3067" s="363" t="s">
        <v>105</v>
      </c>
      <c r="O3067" s="214" t="s">
        <v>1330</v>
      </c>
      <c r="P3067" s="422">
        <f t="shared" si="271"/>
        <v>159.69999999999999</v>
      </c>
      <c r="Q3067" s="215" t="s">
        <v>105</v>
      </c>
      <c r="R3067" s="212">
        <f t="shared" si="272"/>
        <v>159.69999999999999</v>
      </c>
    </row>
    <row r="3068" spans="6:18" ht="24" customHeight="1">
      <c r="F3068" s="215" t="s">
        <v>1309</v>
      </c>
      <c r="G3068" s="363" t="s">
        <v>67</v>
      </c>
      <c r="H3068" s="214" t="s">
        <v>2390</v>
      </c>
      <c r="I3068" s="356"/>
      <c r="J3068" s="359"/>
      <c r="K3068" s="356"/>
      <c r="M3068" s="212">
        <v>2</v>
      </c>
      <c r="N3068" s="363" t="s">
        <v>105</v>
      </c>
      <c r="O3068" s="214" t="s">
        <v>1332</v>
      </c>
      <c r="P3068" s="422">
        <f t="shared" si="271"/>
        <v>7.3</v>
      </c>
      <c r="Q3068" s="215" t="s">
        <v>105</v>
      </c>
      <c r="R3068" s="212">
        <f t="shared" si="272"/>
        <v>14.6</v>
      </c>
    </row>
    <row r="3069" spans="6:18" ht="24" customHeight="1">
      <c r="F3069" s="356"/>
      <c r="G3069" s="357"/>
      <c r="H3069" s="214" t="s">
        <v>1311</v>
      </c>
      <c r="I3069" s="356"/>
      <c r="J3069" s="359"/>
      <c r="K3069" s="356"/>
      <c r="M3069" s="212">
        <v>2</v>
      </c>
      <c r="N3069" s="363" t="s">
        <v>105</v>
      </c>
      <c r="O3069" s="214" t="s">
        <v>463</v>
      </c>
      <c r="P3069" s="422">
        <f t="shared" si="271"/>
        <v>43.8</v>
      </c>
      <c r="Q3069" s="215" t="s">
        <v>105</v>
      </c>
      <c r="R3069" s="212">
        <f t="shared" si="272"/>
        <v>87.6</v>
      </c>
    </row>
    <row r="3070" spans="6:18" ht="24" customHeight="1">
      <c r="F3070" s="356"/>
      <c r="G3070" s="357"/>
      <c r="H3070" s="214" t="s">
        <v>2465</v>
      </c>
      <c r="I3070" s="356"/>
      <c r="J3070" s="359"/>
      <c r="K3070" s="356"/>
      <c r="M3070" s="356"/>
      <c r="N3070" s="357"/>
      <c r="O3070" s="356"/>
      <c r="P3070" s="356"/>
      <c r="Q3070" s="359"/>
      <c r="R3070" s="364" t="s">
        <v>48</v>
      </c>
    </row>
    <row r="3071" spans="6:18" ht="24" customHeight="1">
      <c r="F3071" s="356"/>
      <c r="G3071" s="357"/>
      <c r="H3071" s="364" t="s">
        <v>48</v>
      </c>
      <c r="I3071" s="356"/>
      <c r="J3071" s="359"/>
      <c r="K3071" s="356"/>
      <c r="M3071" s="356"/>
      <c r="N3071" s="357"/>
      <c r="O3071" s="214" t="s">
        <v>2466</v>
      </c>
      <c r="P3071" s="356"/>
      <c r="Q3071" s="359"/>
      <c r="R3071" s="212">
        <f>SUM(R3062:R3070)+0.5</f>
        <v>9782.6200000000008</v>
      </c>
    </row>
    <row r="3072" spans="6:18" ht="24" customHeight="1">
      <c r="F3072" s="356"/>
      <c r="G3072" s="357"/>
      <c r="H3072" s="214" t="s">
        <v>2467</v>
      </c>
      <c r="I3072" s="356"/>
      <c r="J3072" s="359"/>
      <c r="K3072" s="356"/>
      <c r="M3072" s="356"/>
      <c r="N3072" s="357"/>
      <c r="O3072" s="356"/>
      <c r="P3072" s="356"/>
      <c r="Q3072" s="359"/>
      <c r="R3072" s="364" t="s">
        <v>48</v>
      </c>
    </row>
    <row r="3073" spans="6:18" ht="24" customHeight="1">
      <c r="F3073" s="356"/>
      <c r="G3073" s="357"/>
      <c r="H3073" s="356"/>
      <c r="I3073" s="356"/>
      <c r="J3073" s="359"/>
      <c r="K3073" s="356"/>
      <c r="M3073" s="356"/>
      <c r="N3073" s="357"/>
      <c r="O3073" s="214" t="s">
        <v>403</v>
      </c>
      <c r="P3073" s="356"/>
      <c r="Q3073" s="359"/>
      <c r="R3073" s="212">
        <f>R3071/M3062</f>
        <v>2973.4407294832827</v>
      </c>
    </row>
    <row r="3074" spans="6:18" ht="24" customHeight="1">
      <c r="F3074" s="375">
        <v>2.87</v>
      </c>
      <c r="G3074" s="363" t="s">
        <v>438</v>
      </c>
      <c r="H3074" s="373" t="s">
        <v>2392</v>
      </c>
      <c r="I3074" s="422">
        <f>I3055</f>
        <v>2370</v>
      </c>
      <c r="J3074" s="215" t="s">
        <v>438</v>
      </c>
      <c r="K3074" s="356">
        <f>F3075*I3074</f>
        <v>6801.9000000000005</v>
      </c>
      <c r="N3074" s="29"/>
      <c r="Q3074" s="31"/>
    </row>
    <row r="3075" spans="6:18" ht="24" customHeight="1">
      <c r="F3075" s="398">
        <f>F3074</f>
        <v>2.87</v>
      </c>
      <c r="G3075" s="363" t="s">
        <v>438</v>
      </c>
      <c r="H3075" s="365" t="s">
        <v>1324</v>
      </c>
      <c r="I3075" s="368">
        <f t="shared" ref="I3075:I3081" si="273">I3056</f>
        <v>248</v>
      </c>
      <c r="J3075" s="215" t="s">
        <v>438</v>
      </c>
      <c r="K3075" s="212">
        <f t="shared" ref="K3075:K3081" si="274">(F3075*I3075)</f>
        <v>711.76</v>
      </c>
    </row>
    <row r="3076" spans="6:18" ht="24" customHeight="1">
      <c r="F3076" s="212">
        <v>4</v>
      </c>
      <c r="G3076" s="363" t="s">
        <v>196</v>
      </c>
      <c r="H3076" s="214" t="s">
        <v>1325</v>
      </c>
      <c r="I3076" s="422">
        <f t="shared" si="273"/>
        <v>50.9</v>
      </c>
      <c r="J3076" s="215" t="s">
        <v>105</v>
      </c>
      <c r="K3076" s="212">
        <f t="shared" si="274"/>
        <v>203.6</v>
      </c>
    </row>
    <row r="3077" spans="6:18" ht="24" customHeight="1">
      <c r="F3077" s="212">
        <v>6</v>
      </c>
      <c r="G3077" s="363" t="s">
        <v>105</v>
      </c>
      <c r="H3077" s="214" t="s">
        <v>1326</v>
      </c>
      <c r="I3077" s="422">
        <f t="shared" si="273"/>
        <v>79.099999999999994</v>
      </c>
      <c r="J3077" s="215" t="s">
        <v>105</v>
      </c>
      <c r="K3077" s="212">
        <f t="shared" si="274"/>
        <v>474.59999999999997</v>
      </c>
    </row>
    <row r="3078" spans="6:18" ht="24" customHeight="1">
      <c r="F3078" s="212">
        <v>4</v>
      </c>
      <c r="G3078" s="363" t="s">
        <v>105</v>
      </c>
      <c r="H3078" s="214" t="s">
        <v>1328</v>
      </c>
      <c r="I3078" s="422">
        <f t="shared" si="273"/>
        <v>57.2</v>
      </c>
      <c r="J3078" s="215" t="s">
        <v>105</v>
      </c>
      <c r="K3078" s="212">
        <f t="shared" si="274"/>
        <v>228.8</v>
      </c>
    </row>
    <row r="3079" spans="6:18" ht="24" customHeight="1">
      <c r="F3079" s="212">
        <v>1</v>
      </c>
      <c r="G3079" s="363" t="s">
        <v>105</v>
      </c>
      <c r="H3079" s="214" t="s">
        <v>1330</v>
      </c>
      <c r="I3079" s="422">
        <f t="shared" si="273"/>
        <v>159.69999999999999</v>
      </c>
      <c r="J3079" s="215" t="s">
        <v>105</v>
      </c>
      <c r="K3079" s="212">
        <f t="shared" si="274"/>
        <v>159.69999999999999</v>
      </c>
    </row>
    <row r="3080" spans="6:18" ht="24" customHeight="1">
      <c r="F3080" s="212">
        <v>2</v>
      </c>
      <c r="G3080" s="363" t="s">
        <v>105</v>
      </c>
      <c r="H3080" s="214" t="s">
        <v>1332</v>
      </c>
      <c r="I3080" s="422">
        <f t="shared" si="273"/>
        <v>7.3</v>
      </c>
      <c r="J3080" s="215" t="s">
        <v>105</v>
      </c>
      <c r="K3080" s="212">
        <f t="shared" si="274"/>
        <v>14.6</v>
      </c>
    </row>
    <row r="3081" spans="6:18" ht="24" customHeight="1">
      <c r="F3081" s="212">
        <v>2</v>
      </c>
      <c r="G3081" s="363" t="s">
        <v>105</v>
      </c>
      <c r="H3081" s="214" t="s">
        <v>463</v>
      </c>
      <c r="I3081" s="422">
        <f t="shared" si="273"/>
        <v>43.8</v>
      </c>
      <c r="J3081" s="215" t="s">
        <v>105</v>
      </c>
      <c r="K3081" s="212">
        <f t="shared" si="274"/>
        <v>87.6</v>
      </c>
    </row>
    <row r="3082" spans="6:18" ht="24" customHeight="1">
      <c r="F3082" s="356"/>
      <c r="G3082" s="357"/>
      <c r="H3082" s="356"/>
      <c r="I3082" s="356"/>
      <c r="J3082" s="359"/>
      <c r="K3082" s="368">
        <f>1.19+0.16</f>
        <v>1.3499999999999999</v>
      </c>
    </row>
    <row r="3083" spans="6:18" ht="24" customHeight="1">
      <c r="F3083" s="356"/>
      <c r="G3083" s="357"/>
      <c r="H3083" s="214" t="s">
        <v>2468</v>
      </c>
      <c r="I3083" s="356"/>
      <c r="J3083" s="359"/>
      <c r="K3083" s="212">
        <f>SUM(K3074:K3082)</f>
        <v>8683.9100000000035</v>
      </c>
    </row>
    <row r="3084" spans="6:18" ht="24" customHeight="1">
      <c r="F3084" s="356"/>
      <c r="G3084" s="357"/>
      <c r="H3084" s="356"/>
      <c r="I3084" s="356"/>
      <c r="J3084" s="359"/>
      <c r="K3084" s="364" t="s">
        <v>48</v>
      </c>
    </row>
    <row r="3085" spans="6:18" ht="24" customHeight="1">
      <c r="F3085" s="356"/>
      <c r="G3085" s="357"/>
      <c r="H3085" s="214" t="s">
        <v>403</v>
      </c>
      <c r="I3085" s="356"/>
      <c r="J3085" s="359"/>
      <c r="K3085" s="212">
        <f>K3083/F3075</f>
        <v>3025.7526132404191</v>
      </c>
    </row>
    <row r="3087" spans="6:18" ht="24" customHeight="1">
      <c r="F3087" s="332" t="s">
        <v>2312</v>
      </c>
      <c r="G3087" s="333"/>
      <c r="H3087" s="59" t="s">
        <v>2469</v>
      </c>
      <c r="I3087" s="334"/>
      <c r="J3087" s="335"/>
      <c r="K3087" s="334"/>
    </row>
    <row r="3088" spans="6:18" ht="24" customHeight="1">
      <c r="F3088" s="334"/>
      <c r="G3088" s="333"/>
      <c r="H3088" s="336" t="s">
        <v>48</v>
      </c>
      <c r="I3088" s="336" t="s">
        <v>48</v>
      </c>
      <c r="J3088" s="59" t="s">
        <v>48</v>
      </c>
      <c r="K3088" s="334"/>
    </row>
    <row r="3089" spans="6:44" ht="24" customHeight="1">
      <c r="F3089" s="334"/>
      <c r="G3089" s="333"/>
      <c r="H3089" s="334"/>
      <c r="I3089" s="334"/>
      <c r="J3089" s="335"/>
      <c r="K3089" s="334"/>
    </row>
    <row r="3090" spans="6:44" ht="24" customHeight="1">
      <c r="F3090" s="334"/>
      <c r="G3090" s="333"/>
      <c r="H3090" s="59" t="s">
        <v>1424</v>
      </c>
      <c r="I3090" s="334"/>
      <c r="J3090" s="335"/>
      <c r="K3090" s="334"/>
    </row>
    <row r="3091" spans="6:44" ht="24" customHeight="1">
      <c r="F3091" s="334"/>
      <c r="G3091" s="333"/>
      <c r="H3091" s="59"/>
      <c r="I3091" s="334"/>
      <c r="J3091" s="335"/>
      <c r="K3091" s="334"/>
    </row>
    <row r="3092" spans="6:44" ht="24" customHeight="1">
      <c r="F3092" s="334"/>
      <c r="G3092" s="333"/>
      <c r="H3092" s="59" t="s">
        <v>1426</v>
      </c>
      <c r="I3092" s="334"/>
      <c r="J3092" s="335"/>
      <c r="K3092" s="334"/>
    </row>
    <row r="3093" spans="6:44" ht="24" customHeight="1">
      <c r="F3093" s="334"/>
      <c r="G3093" s="333"/>
      <c r="H3093" s="59" t="s">
        <v>1427</v>
      </c>
      <c r="I3093" s="334"/>
      <c r="J3093" s="335"/>
      <c r="K3093" s="334"/>
    </row>
    <row r="3094" spans="6:44" ht="24" customHeight="1">
      <c r="F3094" s="334"/>
      <c r="G3094" s="333"/>
      <c r="H3094" s="59" t="s">
        <v>1428</v>
      </c>
      <c r="I3094" s="334"/>
      <c r="J3094" s="335"/>
      <c r="K3094" s="334"/>
      <c r="S3094" s="27"/>
      <c r="T3094" s="38"/>
      <c r="U3094" s="26"/>
      <c r="W3094" s="31"/>
    </row>
    <row r="3095" spans="6:44" ht="24" customHeight="1">
      <c r="F3095" s="334"/>
      <c r="G3095" s="333"/>
      <c r="H3095" s="59" t="s">
        <v>1429</v>
      </c>
      <c r="I3095" s="334"/>
      <c r="J3095" s="335"/>
      <c r="K3095" s="334"/>
      <c r="S3095" s="28"/>
      <c r="U3095" s="26"/>
      <c r="W3095" s="31"/>
    </row>
    <row r="3096" spans="6:44" ht="24" customHeight="1">
      <c r="F3096" s="334"/>
      <c r="G3096" s="333"/>
      <c r="H3096" s="59" t="s">
        <v>2314</v>
      </c>
      <c r="I3096" s="334"/>
      <c r="J3096" s="59" t="s">
        <v>27</v>
      </c>
      <c r="K3096" s="339">
        <v>3.7699999999999997E-2</v>
      </c>
      <c r="S3096" s="28"/>
      <c r="T3096" s="29"/>
      <c r="U3096" s="26"/>
      <c r="W3096" s="31"/>
    </row>
    <row r="3097" spans="6:44" ht="24" customHeight="1">
      <c r="F3097" s="334"/>
      <c r="G3097" s="333"/>
      <c r="H3097" s="427" t="s">
        <v>2470</v>
      </c>
      <c r="I3097" s="334"/>
      <c r="J3097" s="340" t="s">
        <v>27</v>
      </c>
      <c r="K3097" s="340" t="s">
        <v>27</v>
      </c>
      <c r="S3097" s="28"/>
      <c r="T3097" s="29"/>
      <c r="U3097" s="26"/>
      <c r="W3097" s="31"/>
    </row>
    <row r="3098" spans="6:44" ht="24" customHeight="1">
      <c r="F3098" s="334"/>
      <c r="G3098" s="333"/>
      <c r="H3098" s="59" t="s">
        <v>1434</v>
      </c>
      <c r="I3098" s="334"/>
      <c r="J3098" s="335"/>
      <c r="K3098" s="340" t="s">
        <v>27</v>
      </c>
      <c r="S3098" s="28"/>
      <c r="T3098" s="29"/>
      <c r="U3098" s="26"/>
      <c r="W3098" s="31"/>
    </row>
    <row r="3099" spans="6:44" ht="31.5" customHeight="1">
      <c r="F3099" s="334"/>
      <c r="G3099" s="333"/>
      <c r="H3099" s="334"/>
      <c r="I3099" s="334"/>
      <c r="J3099" s="335"/>
      <c r="K3099" s="334"/>
      <c r="S3099" s="28"/>
      <c r="T3099" s="29"/>
      <c r="U3099" s="29" t="s">
        <v>2471</v>
      </c>
      <c r="W3099" s="31"/>
    </row>
    <row r="3100" spans="6:44" ht="24.75" customHeight="1">
      <c r="F3100" s="341">
        <v>1.18E-2</v>
      </c>
      <c r="G3100" s="342" t="s">
        <v>93</v>
      </c>
      <c r="H3100" s="59" t="s">
        <v>454</v>
      </c>
      <c r="I3100" s="343">
        <f>I2662</f>
        <v>111600</v>
      </c>
      <c r="J3100" s="59" t="s">
        <v>93</v>
      </c>
      <c r="K3100" s="343">
        <f t="shared" ref="K3100:K3108" si="275">(F3100*I3100)</f>
        <v>1316.8799999999999</v>
      </c>
      <c r="S3100" s="28"/>
      <c r="T3100" s="29"/>
      <c r="U3100" s="37"/>
      <c r="W3100" s="31"/>
    </row>
    <row r="3101" spans="6:44" ht="36" customHeight="1">
      <c r="F3101" s="341">
        <v>3.7699999999999997E-2</v>
      </c>
      <c r="G3101" s="342" t="s">
        <v>93</v>
      </c>
      <c r="H3101" s="59" t="s">
        <v>455</v>
      </c>
      <c r="I3101" s="343">
        <f t="shared" ref="I3101:I3108" si="276">I2663</f>
        <v>99400</v>
      </c>
      <c r="J3101" s="59" t="s">
        <v>93</v>
      </c>
      <c r="K3101" s="343">
        <f t="shared" si="275"/>
        <v>3747.3799999999997</v>
      </c>
      <c r="S3101" s="28"/>
      <c r="T3101" s="29"/>
      <c r="U3101" s="26" t="s">
        <v>2472</v>
      </c>
      <c r="V3101" s="127">
        <f xml:space="preserve"> 3.08*2.1</f>
        <v>6.4680000000000009</v>
      </c>
      <c r="W3101" s="31" t="s">
        <v>480</v>
      </c>
      <c r="X3101" s="28" t="s">
        <v>480</v>
      </c>
    </row>
    <row r="3102" spans="6:44" ht="45" customHeight="1">
      <c r="F3102" s="341">
        <v>1.8550000000000001E-2</v>
      </c>
      <c r="G3102" s="342" t="s">
        <v>93</v>
      </c>
      <c r="H3102" s="59" t="s">
        <v>1435</v>
      </c>
      <c r="I3102" s="343">
        <f t="shared" si="276"/>
        <v>14384.999999999998</v>
      </c>
      <c r="J3102" s="59" t="s">
        <v>93</v>
      </c>
      <c r="K3102" s="343">
        <f t="shared" si="275"/>
        <v>266.84174999999999</v>
      </c>
      <c r="S3102" s="28"/>
      <c r="T3102" s="428"/>
      <c r="U3102" s="429" t="s">
        <v>2473</v>
      </c>
      <c r="V3102" s="430">
        <f>4*2.05*0.075*0.0375</f>
        <v>2.3062499999999996E-2</v>
      </c>
      <c r="W3102" s="431" t="s">
        <v>475</v>
      </c>
      <c r="X3102" s="432"/>
      <c r="Y3102" s="432"/>
      <c r="AE3102" s="28" t="s">
        <v>1854</v>
      </c>
      <c r="AG3102" s="41" t="s">
        <v>1198</v>
      </c>
      <c r="AR3102" s="41" t="s">
        <v>2474</v>
      </c>
    </row>
    <row r="3103" spans="6:44" ht="31.5" customHeight="1">
      <c r="F3103" s="341">
        <v>1.36</v>
      </c>
      <c r="G3103" s="342" t="s">
        <v>438</v>
      </c>
      <c r="H3103" s="59" t="s">
        <v>2475</v>
      </c>
      <c r="I3103" s="343">
        <f>I1055</f>
        <v>387.4</v>
      </c>
      <c r="J3103" s="59" t="s">
        <v>438</v>
      </c>
      <c r="K3103" s="343">
        <f t="shared" si="275"/>
        <v>526.86400000000003</v>
      </c>
      <c r="S3103" s="28"/>
      <c r="T3103" s="428"/>
      <c r="U3103" s="432"/>
      <c r="V3103" s="432"/>
      <c r="W3103" s="429" t="s">
        <v>48</v>
      </c>
      <c r="X3103" s="432"/>
      <c r="Y3103" s="432"/>
      <c r="AG3103" s="28" t="s">
        <v>2476</v>
      </c>
      <c r="AR3103" s="28" t="s">
        <v>2476</v>
      </c>
    </row>
    <row r="3104" spans="6:44" ht="31.5" customHeight="1">
      <c r="F3104" s="341">
        <v>2.0499999999999998</v>
      </c>
      <c r="G3104" s="342" t="s">
        <v>438</v>
      </c>
      <c r="H3104" s="59" t="s">
        <v>1437</v>
      </c>
      <c r="I3104" s="343">
        <f t="shared" si="276"/>
        <v>1348.1999999999998</v>
      </c>
      <c r="J3104" s="59" t="s">
        <v>438</v>
      </c>
      <c r="K3104" s="343">
        <f t="shared" si="275"/>
        <v>2763.8099999999995</v>
      </c>
      <c r="S3104" s="28"/>
      <c r="T3104" s="428"/>
      <c r="U3104" s="429" t="s">
        <v>2477</v>
      </c>
      <c r="V3104" s="430">
        <f>2*3*0.55*0.15*0.0375</f>
        <v>1.8562499999999999E-2</v>
      </c>
      <c r="W3104" s="431" t="s">
        <v>475</v>
      </c>
      <c r="X3104" s="432"/>
      <c r="Y3104" s="432"/>
      <c r="AG3104" s="28" t="s">
        <v>2478</v>
      </c>
      <c r="AR3104" s="28" t="s">
        <v>2478</v>
      </c>
    </row>
    <row r="3105" spans="6:49" ht="36" customHeight="1">
      <c r="F3105" s="343">
        <v>2</v>
      </c>
      <c r="G3105" s="342" t="s">
        <v>105</v>
      </c>
      <c r="H3105" s="59" t="s">
        <v>2479</v>
      </c>
      <c r="I3105" s="433">
        <v>50.3</v>
      </c>
      <c r="J3105" s="59" t="s">
        <v>105</v>
      </c>
      <c r="K3105" s="343">
        <f t="shared" si="275"/>
        <v>100.6</v>
      </c>
      <c r="S3105" s="28"/>
      <c r="T3105" s="428"/>
      <c r="U3105" s="429" t="s">
        <v>27</v>
      </c>
      <c r="V3105" s="429" t="s">
        <v>27</v>
      </c>
      <c r="W3105" s="431"/>
      <c r="X3105" s="434" t="s">
        <v>27</v>
      </c>
      <c r="Y3105" s="434"/>
      <c r="AE3105" s="28">
        <v>0.1</v>
      </c>
      <c r="AF3105" s="28" t="s">
        <v>969</v>
      </c>
      <c r="AG3105" s="28" t="s">
        <v>2093</v>
      </c>
      <c r="AH3105" s="28">
        <f>AG17</f>
        <v>950.59999999999991</v>
      </c>
      <c r="AI3105" s="28" t="s">
        <v>793</v>
      </c>
      <c r="AJ3105" s="28">
        <f>AE3105*AH3105</f>
        <v>95.06</v>
      </c>
      <c r="AO3105" s="28">
        <v>0.1</v>
      </c>
      <c r="AP3105" s="28" t="s">
        <v>969</v>
      </c>
      <c r="AR3105" s="28" t="s">
        <v>2093</v>
      </c>
      <c r="AS3105" s="28">
        <f>AH3105</f>
        <v>950.59999999999991</v>
      </c>
      <c r="AT3105" s="28" t="s">
        <v>793</v>
      </c>
      <c r="AU3105" s="28">
        <f>AS3105*AO3105</f>
        <v>95.06</v>
      </c>
    </row>
    <row r="3106" spans="6:49" ht="24.75" customHeight="1">
      <c r="F3106" s="343">
        <v>6</v>
      </c>
      <c r="G3106" s="342" t="s">
        <v>105</v>
      </c>
      <c r="H3106" s="59" t="s">
        <v>1395</v>
      </c>
      <c r="I3106" s="343">
        <f t="shared" si="276"/>
        <v>43.6</v>
      </c>
      <c r="J3106" s="59" t="s">
        <v>105</v>
      </c>
      <c r="K3106" s="343">
        <f t="shared" si="275"/>
        <v>261.60000000000002</v>
      </c>
      <c r="S3106" s="28"/>
      <c r="T3106" s="428"/>
      <c r="U3106" s="432"/>
      <c r="V3106" s="432"/>
      <c r="W3106" s="429" t="s">
        <v>27</v>
      </c>
      <c r="X3106" s="429" t="s">
        <v>27</v>
      </c>
      <c r="Y3106" s="429"/>
      <c r="AE3106" s="28">
        <v>0.1</v>
      </c>
      <c r="AF3106" s="28" t="s">
        <v>2480</v>
      </c>
      <c r="AG3106" s="28" t="s">
        <v>1450</v>
      </c>
      <c r="AH3106" s="28">
        <f>AG11</f>
        <v>702.8</v>
      </c>
      <c r="AI3106" s="28" t="s">
        <v>793</v>
      </c>
      <c r="AJ3106" s="28">
        <f>AE3106*AH3106</f>
        <v>70.28</v>
      </c>
      <c r="AO3106" s="28">
        <v>0.1</v>
      </c>
      <c r="AP3106" s="28" t="s">
        <v>2480</v>
      </c>
      <c r="AR3106" s="28" t="s">
        <v>1450</v>
      </c>
      <c r="AS3106" s="28">
        <f>AH3106</f>
        <v>702.8</v>
      </c>
      <c r="AT3106" s="28" t="s">
        <v>793</v>
      </c>
      <c r="AU3106" s="28">
        <f>AS3106*AO3106</f>
        <v>70.28</v>
      </c>
    </row>
    <row r="3107" spans="6:49" ht="29.25" customHeight="1">
      <c r="F3107" s="343">
        <v>2</v>
      </c>
      <c r="G3107" s="342" t="s">
        <v>105</v>
      </c>
      <c r="H3107" s="59" t="s">
        <v>2319</v>
      </c>
      <c r="I3107" s="343">
        <f t="shared" si="276"/>
        <v>53.8</v>
      </c>
      <c r="J3107" s="59" t="s">
        <v>105</v>
      </c>
      <c r="K3107" s="343">
        <f t="shared" si="275"/>
        <v>107.6</v>
      </c>
      <c r="S3107" s="28"/>
      <c r="T3107" s="428"/>
      <c r="U3107" s="429" t="s">
        <v>2481</v>
      </c>
      <c r="V3107" s="432">
        <f>2*0.625*0.425</f>
        <v>0.53125</v>
      </c>
      <c r="W3107" s="434" t="s">
        <v>27</v>
      </c>
      <c r="X3107" s="434" t="s">
        <v>27</v>
      </c>
      <c r="Y3107" s="434"/>
      <c r="AE3107" s="28">
        <v>10</v>
      </c>
      <c r="AF3107" s="28" t="s">
        <v>2482</v>
      </c>
      <c r="AG3107" s="28" t="s">
        <v>2483</v>
      </c>
      <c r="AH3107" s="105">
        <v>18</v>
      </c>
      <c r="AI3107" s="28" t="s">
        <v>2484</v>
      </c>
      <c r="AJ3107" s="28">
        <f>(AE3107*AH3107)/100</f>
        <v>1.8</v>
      </c>
      <c r="AO3107" s="28">
        <v>10</v>
      </c>
      <c r="AP3107" s="28" t="s">
        <v>2482</v>
      </c>
      <c r="AR3107" s="28" t="s">
        <v>2485</v>
      </c>
      <c r="AS3107" s="139">
        <f>AH3107</f>
        <v>18</v>
      </c>
      <c r="AT3107" s="28" t="s">
        <v>2484</v>
      </c>
      <c r="AU3107" s="28">
        <f>(AS3107*AO3107)/100</f>
        <v>1.8</v>
      </c>
    </row>
    <row r="3108" spans="6:49" ht="24" customHeight="1">
      <c r="F3108" s="343">
        <v>1</v>
      </c>
      <c r="G3108" s="342" t="s">
        <v>105</v>
      </c>
      <c r="H3108" s="59" t="s">
        <v>2318</v>
      </c>
      <c r="I3108" s="435">
        <f t="shared" si="276"/>
        <v>63.2</v>
      </c>
      <c r="J3108" s="59" t="s">
        <v>105</v>
      </c>
      <c r="K3108" s="343">
        <f t="shared" si="275"/>
        <v>63.2</v>
      </c>
      <c r="S3108" s="28"/>
      <c r="T3108" s="428"/>
      <c r="U3108" s="429" t="s">
        <v>2486</v>
      </c>
      <c r="V3108" s="432">
        <f>2*0.425*1.025</f>
        <v>0.87124999999999986</v>
      </c>
      <c r="W3108" s="431"/>
      <c r="X3108" s="434">
        <v>1.26</v>
      </c>
      <c r="Y3108" s="434"/>
      <c r="AE3108" s="28">
        <v>0.25</v>
      </c>
      <c r="AF3108" s="28" t="s">
        <v>969</v>
      </c>
      <c r="AG3108" s="28" t="s">
        <v>2487</v>
      </c>
      <c r="AH3108" s="105">
        <v>3.5</v>
      </c>
      <c r="AI3108" s="28" t="s">
        <v>793</v>
      </c>
      <c r="AJ3108" s="28">
        <v>1</v>
      </c>
      <c r="AO3108" s="28">
        <v>0.25</v>
      </c>
      <c r="AP3108" s="28" t="s">
        <v>969</v>
      </c>
      <c r="AR3108" s="28" t="s">
        <v>2488</v>
      </c>
      <c r="AS3108" s="139">
        <f>AH3108</f>
        <v>3.5</v>
      </c>
      <c r="AT3108" s="28" t="s">
        <v>793</v>
      </c>
      <c r="AU3108" s="28">
        <f>AS3108*AO3108</f>
        <v>0.875</v>
      </c>
      <c r="AW3108" s="28">
        <f>3.09/0.25</f>
        <v>12.36</v>
      </c>
    </row>
    <row r="3109" spans="6:49" ht="27.75" customHeight="1">
      <c r="F3109" s="343">
        <v>6.55</v>
      </c>
      <c r="G3109" s="342" t="s">
        <v>438</v>
      </c>
      <c r="H3109" s="59" t="s">
        <v>2489</v>
      </c>
      <c r="I3109" s="343">
        <f>K1540</f>
        <v>244.32330000000002</v>
      </c>
      <c r="J3109" s="59" t="s">
        <v>438</v>
      </c>
      <c r="K3109" s="343">
        <f>(F3109*I3109)</f>
        <v>1600.3176150000002</v>
      </c>
      <c r="S3109" s="28"/>
      <c r="T3109" s="428"/>
      <c r="U3109" s="432"/>
      <c r="V3109" s="436">
        <f>SUM(V3107:V3108)</f>
        <v>1.4024999999999999</v>
      </c>
      <c r="W3109" s="431" t="s">
        <v>480</v>
      </c>
      <c r="X3109" s="429" t="s">
        <v>27</v>
      </c>
      <c r="Y3109" s="429"/>
      <c r="AH3109" s="28" t="s">
        <v>2490</v>
      </c>
      <c r="AJ3109" s="28">
        <f>SUM(AJ3105:AJ3108)</f>
        <v>168.14000000000001</v>
      </c>
      <c r="AS3109" s="28" t="s">
        <v>2490</v>
      </c>
      <c r="AU3109" s="28">
        <f>SUM(AU3105:AU3108)</f>
        <v>168.01500000000001</v>
      </c>
    </row>
    <row r="3110" spans="6:49" ht="24" customHeight="1">
      <c r="F3110" s="334">
        <v>50</v>
      </c>
      <c r="G3110" s="333" t="s">
        <v>969</v>
      </c>
      <c r="H3110" s="59" t="s">
        <v>2491</v>
      </c>
      <c r="I3110" s="437">
        <f>I961</f>
        <v>2.37</v>
      </c>
      <c r="J3110" s="335"/>
      <c r="K3110" s="343">
        <f>(F3110*I3110)</f>
        <v>118.5</v>
      </c>
      <c r="S3110" s="28"/>
      <c r="T3110" s="29"/>
      <c r="W3110" s="31"/>
      <c r="X3110" s="157" t="s">
        <v>27</v>
      </c>
      <c r="Y3110" s="157"/>
    </row>
    <row r="3111" spans="6:49" ht="26.25" customHeight="1">
      <c r="F3111" s="334"/>
      <c r="G3111" s="333"/>
      <c r="H3111" s="348"/>
      <c r="I3111" s="348"/>
      <c r="J3111" s="349"/>
      <c r="K3111" s="350" t="s">
        <v>48</v>
      </c>
      <c r="S3111" s="28"/>
      <c r="T3111" s="29"/>
      <c r="W3111" s="31"/>
      <c r="X3111" s="26" t="s">
        <v>27</v>
      </c>
      <c r="Y3111" s="26"/>
      <c r="AG3111" s="438" t="s">
        <v>2365</v>
      </c>
      <c r="AH3111" s="28" t="s">
        <v>2492</v>
      </c>
      <c r="AI3111" s="438" t="s">
        <v>2492</v>
      </c>
      <c r="AJ3111" s="438" t="s">
        <v>2493</v>
      </c>
      <c r="AR3111" s="438" t="s">
        <v>2365</v>
      </c>
      <c r="AS3111" s="41" t="s">
        <v>2492</v>
      </c>
      <c r="AT3111" s="439" t="s">
        <v>2493</v>
      </c>
    </row>
    <row r="3112" spans="6:49" ht="24" customHeight="1">
      <c r="F3112" s="334"/>
      <c r="G3112" s="333"/>
      <c r="H3112" s="351" t="s">
        <v>1443</v>
      </c>
      <c r="I3112" s="348"/>
      <c r="J3112" s="349"/>
      <c r="K3112" s="352">
        <f>SUM(K3100:K3110)</f>
        <v>10873.593365000001</v>
      </c>
      <c r="S3112" s="27" t="s">
        <v>1348</v>
      </c>
      <c r="T3112" s="38"/>
      <c r="U3112" s="30" t="s">
        <v>2494</v>
      </c>
      <c r="W3112" s="31"/>
      <c r="X3112" s="26" t="s">
        <v>27</v>
      </c>
      <c r="Y3112" s="26"/>
      <c r="AG3112" s="438"/>
      <c r="AH3112" s="28">
        <v>331</v>
      </c>
      <c r="AI3112" s="438">
        <v>331</v>
      </c>
      <c r="AJ3112" s="438">
        <v>283</v>
      </c>
      <c r="AR3112" s="438"/>
      <c r="AT3112" s="438"/>
      <c r="AU3112" s="438"/>
    </row>
    <row r="3113" spans="6:49" ht="24" customHeight="1">
      <c r="F3113" s="334"/>
      <c r="G3113" s="342" t="s">
        <v>27</v>
      </c>
      <c r="H3113" s="348"/>
      <c r="I3113" s="348"/>
      <c r="J3113" s="349"/>
      <c r="K3113" s="350" t="s">
        <v>48</v>
      </c>
      <c r="S3113" s="28"/>
      <c r="T3113" s="29"/>
      <c r="U3113" s="35" t="s">
        <v>48</v>
      </c>
      <c r="W3113" s="31"/>
      <c r="AG3113" s="438" t="s">
        <v>2495</v>
      </c>
      <c r="AH3113" s="28">
        <f>AJ3109</f>
        <v>168.14000000000001</v>
      </c>
      <c r="AI3113" s="438">
        <f>AJ3109</f>
        <v>168.14000000000001</v>
      </c>
      <c r="AJ3113" s="438">
        <f>AJ3109</f>
        <v>168.14000000000001</v>
      </c>
      <c r="AR3113" s="438" t="s">
        <v>2495</v>
      </c>
      <c r="AS3113" s="41">
        <v>96</v>
      </c>
      <c r="AT3113" s="41">
        <v>85</v>
      </c>
      <c r="AU3113" s="41">
        <v>85</v>
      </c>
    </row>
    <row r="3114" spans="6:49" ht="21" customHeight="1">
      <c r="F3114" s="334"/>
      <c r="G3114" s="333"/>
      <c r="H3114" s="351" t="s">
        <v>403</v>
      </c>
      <c r="I3114" s="348"/>
      <c r="J3114" s="349"/>
      <c r="K3114" s="352">
        <f>K3112/2.52</f>
        <v>4314.9180019841269</v>
      </c>
      <c r="S3114" s="106">
        <v>7.0699999999999999E-2</v>
      </c>
      <c r="T3114" s="38" t="s">
        <v>93</v>
      </c>
      <c r="U3114" s="26" t="s">
        <v>2496</v>
      </c>
      <c r="V3114" s="40">
        <f>P3154</f>
        <v>99400</v>
      </c>
      <c r="W3114" s="26" t="s">
        <v>93</v>
      </c>
      <c r="X3114" s="40">
        <f>V3114*S3114</f>
        <v>7027.58</v>
      </c>
      <c r="Y3114" s="40"/>
      <c r="AG3114" s="438" t="s">
        <v>2100</v>
      </c>
      <c r="AH3114" s="28">
        <f>SUM(AH3112:AH3113)</f>
        <v>499.14</v>
      </c>
      <c r="AI3114" s="438">
        <f>SUM(AI3112:AI3113)</f>
        <v>499.14</v>
      </c>
      <c r="AJ3114" s="438">
        <f>SUM(AJ3112:AJ3113)</f>
        <v>451.14</v>
      </c>
      <c r="AR3114" s="438" t="s">
        <v>2100</v>
      </c>
      <c r="AS3114" s="28">
        <f>AU3109</f>
        <v>168.01500000000001</v>
      </c>
      <c r="AT3114" s="438">
        <f>AU3109</f>
        <v>168.01500000000001</v>
      </c>
      <c r="AU3114" s="438"/>
    </row>
    <row r="3115" spans="6:49" ht="23.25" customHeight="1">
      <c r="F3115" s="334"/>
      <c r="G3115" s="333"/>
      <c r="H3115" s="348"/>
      <c r="I3115" s="348"/>
      <c r="J3115" s="349"/>
      <c r="K3115" s="350" t="s">
        <v>41</v>
      </c>
      <c r="S3115" s="106">
        <v>3.6659999999999999</v>
      </c>
      <c r="T3115" s="38" t="s">
        <v>438</v>
      </c>
      <c r="U3115" s="26" t="s">
        <v>2497</v>
      </c>
      <c r="V3115" s="40">
        <f>I1176</f>
        <v>208.8</v>
      </c>
      <c r="W3115" s="26" t="s">
        <v>93</v>
      </c>
      <c r="X3115" s="40">
        <f t="shared" ref="X3115:X3122" si="277">V3115*S3115</f>
        <v>765.46080000000006</v>
      </c>
      <c r="Y3115" s="40"/>
      <c r="AG3115" s="438"/>
      <c r="AH3115" s="28">
        <f>ROUNDUP(AH3114,0)</f>
        <v>500</v>
      </c>
      <c r="AI3115" s="28">
        <f>ROUNDUP(AI3114,0)</f>
        <v>500</v>
      </c>
      <c r="AJ3115" s="28">
        <f>ROUNDUP(AJ3114,0)</f>
        <v>452</v>
      </c>
      <c r="AR3115" s="438"/>
      <c r="AS3115" s="41">
        <f>SUM(AS3112:AS3114)</f>
        <v>264.01499999999999</v>
      </c>
      <c r="AT3115" s="41">
        <f>SUM(AT3112:AT3114)</f>
        <v>253.01500000000001</v>
      </c>
    </row>
    <row r="3116" spans="6:49" ht="39" customHeight="1">
      <c r="S3116" s="107">
        <v>5.16</v>
      </c>
      <c r="T3116" s="38" t="s">
        <v>438</v>
      </c>
      <c r="U3116" s="26" t="s">
        <v>457</v>
      </c>
      <c r="V3116" s="40">
        <f>AG32</f>
        <v>1509.1999999999998</v>
      </c>
      <c r="W3116" s="26" t="s">
        <v>438</v>
      </c>
      <c r="X3116" s="40">
        <f t="shared" si="277"/>
        <v>7787.4719999999988</v>
      </c>
      <c r="Y3116" s="40"/>
      <c r="AG3116" s="438"/>
      <c r="AH3116" s="438"/>
      <c r="AI3116" s="438"/>
      <c r="AJ3116" s="438"/>
      <c r="AS3116" s="28">
        <f>ROUNDUP(AS3115,0)</f>
        <v>265</v>
      </c>
      <c r="AT3116" s="28">
        <f>ROUNDUP(AT3115,0)</f>
        <v>254</v>
      </c>
    </row>
    <row r="3117" spans="6:49" ht="39" customHeight="1">
      <c r="S3117" s="107">
        <v>22.66</v>
      </c>
      <c r="T3117" s="38" t="s">
        <v>2498</v>
      </c>
      <c r="U3117" s="26" t="s">
        <v>2499</v>
      </c>
      <c r="V3117" s="40">
        <v>45.7</v>
      </c>
      <c r="W3117" s="26" t="s">
        <v>438</v>
      </c>
      <c r="X3117" s="40">
        <f t="shared" si="277"/>
        <v>1035.5620000000001</v>
      </c>
      <c r="Y3117" s="40"/>
    </row>
    <row r="3118" spans="6:49" ht="39" customHeight="1">
      <c r="H3118" s="41" t="s">
        <v>2500</v>
      </c>
      <c r="N3118" s="29"/>
      <c r="O3118" s="41" t="s">
        <v>2501</v>
      </c>
      <c r="Q3118" s="31"/>
      <c r="S3118" s="40">
        <v>15</v>
      </c>
      <c r="T3118" s="38" t="s">
        <v>105</v>
      </c>
      <c r="U3118" s="26" t="s">
        <v>1350</v>
      </c>
      <c r="V3118" s="40">
        <f>C279</f>
        <v>79.099999999999994</v>
      </c>
      <c r="W3118" s="26" t="s">
        <v>105</v>
      </c>
      <c r="X3118" s="40">
        <f t="shared" si="277"/>
        <v>1186.5</v>
      </c>
      <c r="Y3118" s="40"/>
    </row>
    <row r="3119" spans="6:49" ht="39" customHeight="1">
      <c r="F3119" s="28">
        <v>1</v>
      </c>
      <c r="H3119" s="28" t="s">
        <v>2502</v>
      </c>
      <c r="I3119" s="440">
        <v>143.97999999999999</v>
      </c>
      <c r="J3119" s="31" t="s">
        <v>793</v>
      </c>
      <c r="K3119" s="28">
        <f>I3119</f>
        <v>143.97999999999999</v>
      </c>
      <c r="M3119" s="28">
        <v>1</v>
      </c>
      <c r="N3119" s="29"/>
      <c r="O3119" s="28" t="s">
        <v>2503</v>
      </c>
      <c r="P3119" s="105">
        <v>14.7</v>
      </c>
      <c r="Q3119" s="31" t="s">
        <v>793</v>
      </c>
      <c r="R3119" s="28">
        <f>P3119</f>
        <v>14.7</v>
      </c>
      <c r="S3119" s="40">
        <v>10</v>
      </c>
      <c r="T3119" s="38" t="s">
        <v>105</v>
      </c>
      <c r="U3119" s="26" t="s">
        <v>2504</v>
      </c>
      <c r="V3119" s="49">
        <v>68.5</v>
      </c>
      <c r="W3119" s="26" t="s">
        <v>105</v>
      </c>
      <c r="X3119" s="40">
        <f t="shared" si="277"/>
        <v>685</v>
      </c>
      <c r="Y3119" s="40"/>
      <c r="AE3119" s="28" t="s">
        <v>2983</v>
      </c>
    </row>
    <row r="3120" spans="6:49" ht="39" customHeight="1">
      <c r="F3120" s="28">
        <v>1</v>
      </c>
      <c r="H3120" s="139" t="s">
        <v>2505</v>
      </c>
      <c r="I3120" s="440">
        <v>41.65</v>
      </c>
      <c r="J3120" s="31" t="s">
        <v>793</v>
      </c>
      <c r="K3120" s="28">
        <f>I3120</f>
        <v>41.65</v>
      </c>
      <c r="M3120" s="28">
        <v>1</v>
      </c>
      <c r="N3120" s="29"/>
      <c r="O3120" s="28" t="s">
        <v>2506</v>
      </c>
      <c r="P3120" s="105">
        <v>7.3</v>
      </c>
      <c r="Q3120" s="31" t="s">
        <v>793</v>
      </c>
      <c r="R3120" s="28">
        <f>P3120</f>
        <v>7.3</v>
      </c>
      <c r="S3120" s="40">
        <v>5</v>
      </c>
      <c r="T3120" s="38" t="s">
        <v>105</v>
      </c>
      <c r="U3120" s="26" t="s">
        <v>2507</v>
      </c>
      <c r="V3120" s="40">
        <f>P3161</f>
        <v>50.9</v>
      </c>
      <c r="W3120" s="26" t="s">
        <v>105</v>
      </c>
      <c r="X3120" s="40">
        <f t="shared" si="277"/>
        <v>254.5</v>
      </c>
      <c r="Y3120" s="40"/>
    </row>
    <row r="3121" spans="6:25" ht="39" customHeight="1">
      <c r="F3121" s="32">
        <v>0.125</v>
      </c>
      <c r="H3121" s="139" t="s">
        <v>2508</v>
      </c>
      <c r="I3121" s="28">
        <f>C15</f>
        <v>933.8</v>
      </c>
      <c r="J3121" s="31" t="s">
        <v>793</v>
      </c>
      <c r="K3121" s="28">
        <f>F3121*I3121</f>
        <v>116.72499999999999</v>
      </c>
      <c r="M3121" s="32">
        <v>0.125</v>
      </c>
      <c r="N3121" s="29"/>
      <c r="O3121" s="139" t="s">
        <v>2508</v>
      </c>
      <c r="P3121" s="139">
        <f>I3121</f>
        <v>933.8</v>
      </c>
      <c r="Q3121" s="31" t="s">
        <v>793</v>
      </c>
      <c r="R3121" s="28">
        <f>M3121*P3121</f>
        <v>116.72499999999999</v>
      </c>
      <c r="S3121" s="40">
        <v>5</v>
      </c>
      <c r="T3121" s="38" t="s">
        <v>105</v>
      </c>
      <c r="U3121" s="26" t="s">
        <v>461</v>
      </c>
      <c r="V3121" s="40">
        <f>P3160</f>
        <v>7.3</v>
      </c>
      <c r="W3121" s="26" t="s">
        <v>105</v>
      </c>
      <c r="X3121" s="40">
        <f t="shared" si="277"/>
        <v>36.5</v>
      </c>
      <c r="Y3121" s="40"/>
    </row>
    <row r="3122" spans="6:25" ht="39" customHeight="1">
      <c r="F3122" s="32"/>
      <c r="H3122" s="139" t="s">
        <v>1236</v>
      </c>
      <c r="K3122" s="28">
        <v>2.11</v>
      </c>
      <c r="M3122" s="32"/>
      <c r="N3122" s="29"/>
      <c r="O3122" s="139" t="s">
        <v>1236</v>
      </c>
      <c r="Q3122" s="31"/>
      <c r="R3122" s="28">
        <v>4.37</v>
      </c>
      <c r="S3122" s="40">
        <v>10</v>
      </c>
      <c r="T3122" s="38" t="s">
        <v>105</v>
      </c>
      <c r="U3122" s="26" t="s">
        <v>2509</v>
      </c>
      <c r="V3122" s="40">
        <f>I3110</f>
        <v>2.37</v>
      </c>
      <c r="W3122" s="26" t="s">
        <v>105</v>
      </c>
      <c r="X3122" s="40">
        <f t="shared" si="277"/>
        <v>23.700000000000003</v>
      </c>
      <c r="Y3122" s="40"/>
    </row>
    <row r="3123" spans="6:25" ht="24" customHeight="1">
      <c r="H3123" s="218" t="s">
        <v>2226</v>
      </c>
      <c r="I3123" s="41"/>
      <c r="J3123" s="86"/>
      <c r="K3123" s="41">
        <f>SUM(K3119:K3122)</f>
        <v>304.46500000000003</v>
      </c>
      <c r="N3123" s="29"/>
      <c r="O3123" s="218" t="s">
        <v>2226</v>
      </c>
      <c r="P3123" s="41"/>
      <c r="Q3123" s="86"/>
      <c r="R3123" s="41">
        <f>SUM(R3119:R3122)</f>
        <v>143.095</v>
      </c>
      <c r="S3123" s="40"/>
      <c r="T3123" s="38">
        <f>R3123-90</f>
        <v>53.094999999999999</v>
      </c>
      <c r="U3123" s="26"/>
      <c r="V3123" s="40"/>
      <c r="W3123" s="26" t="s">
        <v>105</v>
      </c>
      <c r="X3123" s="35" t="s">
        <v>48</v>
      </c>
      <c r="Y3123" s="35"/>
    </row>
    <row r="3124" spans="6:25" ht="24" customHeight="1">
      <c r="R3124" s="28">
        <f>R3123-87</f>
        <v>56.094999999999999</v>
      </c>
      <c r="S3124" s="40"/>
      <c r="T3124" s="29"/>
      <c r="U3124" s="27" t="s">
        <v>2510</v>
      </c>
      <c r="W3124" s="31"/>
      <c r="X3124" s="40">
        <f>SUM(X3114:X3122)</f>
        <v>18802.274799999999</v>
      </c>
      <c r="Y3124" s="40"/>
    </row>
    <row r="3125" spans="6:25" ht="24" customHeight="1">
      <c r="S3125" s="28"/>
      <c r="T3125" s="29"/>
      <c r="W3125" s="31"/>
      <c r="X3125" s="35" t="s">
        <v>48</v>
      </c>
      <c r="Y3125" s="35"/>
    </row>
    <row r="3126" spans="6:25" ht="24" customHeight="1">
      <c r="F3126" s="27" t="s">
        <v>1361</v>
      </c>
      <c r="G3126" s="38" t="s">
        <v>67</v>
      </c>
      <c r="H3126" s="26" t="s">
        <v>1362</v>
      </c>
      <c r="S3126" s="28"/>
      <c r="T3126" s="38" t="s">
        <v>27</v>
      </c>
      <c r="U3126" s="42" t="s">
        <v>403</v>
      </c>
      <c r="W3126" s="31"/>
      <c r="X3126" s="39">
        <f>X3124/S3116</f>
        <v>3643.8517054263561</v>
      </c>
      <c r="Y3126" s="39"/>
    </row>
    <row r="3127" spans="6:25" ht="24" customHeight="1">
      <c r="H3127" s="26" t="s">
        <v>1363</v>
      </c>
      <c r="S3127" s="28"/>
      <c r="T3127" s="29"/>
      <c r="W3127" s="31"/>
      <c r="X3127" s="35" t="s">
        <v>41</v>
      </c>
      <c r="Y3127" s="35"/>
    </row>
    <row r="3128" spans="6:25" ht="24" customHeight="1">
      <c r="H3128" s="26" t="s">
        <v>1365</v>
      </c>
      <c r="S3128" s="28"/>
      <c r="T3128" s="29"/>
    </row>
    <row r="3129" spans="6:25" ht="24" customHeight="1">
      <c r="H3129" s="26" t="s">
        <v>1366</v>
      </c>
      <c r="S3129" s="27"/>
      <c r="T3129" s="38"/>
      <c r="U3129" s="26" t="s">
        <v>2511</v>
      </c>
      <c r="W3129" s="31"/>
      <c r="X3129" s="26" t="s">
        <v>27</v>
      </c>
      <c r="Y3129" s="26"/>
    </row>
    <row r="3130" spans="6:25" ht="24" customHeight="1">
      <c r="H3130" s="26" t="s">
        <v>1367</v>
      </c>
      <c r="S3130" s="28"/>
      <c r="T3130" s="29"/>
      <c r="U3130" s="35" t="s">
        <v>48</v>
      </c>
      <c r="W3130" s="31"/>
    </row>
    <row r="3131" spans="6:25" ht="24" customHeight="1">
      <c r="H3131" s="26" t="s">
        <v>1368</v>
      </c>
      <c r="S3131" s="106">
        <v>2.7400000000000001E-2</v>
      </c>
      <c r="T3131" s="38" t="s">
        <v>93</v>
      </c>
      <c r="U3131" s="26" t="s">
        <v>2496</v>
      </c>
      <c r="V3131" s="40">
        <f>V3114</f>
        <v>99400</v>
      </c>
      <c r="W3131" s="26" t="s">
        <v>93</v>
      </c>
      <c r="X3131" s="40">
        <f>V3131*S3131</f>
        <v>2723.56</v>
      </c>
      <c r="Y3131" s="40"/>
    </row>
    <row r="3132" spans="6:25" ht="24" customHeight="1">
      <c r="H3132" s="35" t="s">
        <v>48</v>
      </c>
      <c r="S3132" s="106">
        <v>1.1599999999999999</v>
      </c>
      <c r="T3132" s="38" t="s">
        <v>438</v>
      </c>
      <c r="U3132" s="26" t="s">
        <v>2497</v>
      </c>
      <c r="V3132" s="40">
        <f t="shared" ref="V3132:V3139" si="278">V3115</f>
        <v>208.8</v>
      </c>
      <c r="W3132" s="26" t="s">
        <v>93</v>
      </c>
      <c r="X3132" s="40">
        <f t="shared" ref="X3132:X3139" si="279">V3132*S3132</f>
        <v>242.208</v>
      </c>
      <c r="Y3132" s="40"/>
    </row>
    <row r="3133" spans="6:25" ht="24" customHeight="1">
      <c r="H3133" s="26" t="s">
        <v>2512</v>
      </c>
      <c r="M3133" s="27" t="s">
        <v>1361</v>
      </c>
      <c r="N3133" s="38" t="s">
        <v>67</v>
      </c>
      <c r="O3133" s="26" t="s">
        <v>1362</v>
      </c>
      <c r="Q3133" s="31"/>
      <c r="S3133" s="107">
        <v>1.74</v>
      </c>
      <c r="T3133" s="38" t="s">
        <v>438</v>
      </c>
      <c r="U3133" s="26" t="s">
        <v>457</v>
      </c>
      <c r="V3133" s="40">
        <f t="shared" si="278"/>
        <v>1509.1999999999998</v>
      </c>
      <c r="W3133" s="26" t="s">
        <v>438</v>
      </c>
      <c r="X3133" s="40">
        <f t="shared" si="279"/>
        <v>2626.0079999999998</v>
      </c>
      <c r="Y3133" s="40"/>
    </row>
    <row r="3134" spans="6:25" ht="24" customHeight="1">
      <c r="H3134" s="26" t="s">
        <v>1370</v>
      </c>
      <c r="N3134" s="29"/>
      <c r="O3134" s="26" t="s">
        <v>1363</v>
      </c>
      <c r="Q3134" s="31"/>
      <c r="S3134" s="107">
        <v>8.74</v>
      </c>
      <c r="T3134" s="38" t="s">
        <v>2498</v>
      </c>
      <c r="U3134" s="26" t="s">
        <v>2499</v>
      </c>
      <c r="V3134" s="40">
        <f t="shared" si="278"/>
        <v>45.7</v>
      </c>
      <c r="W3134" s="26" t="s">
        <v>438</v>
      </c>
      <c r="X3134" s="40">
        <f t="shared" si="279"/>
        <v>399.41800000000001</v>
      </c>
      <c r="Y3134" s="40"/>
    </row>
    <row r="3135" spans="6:25" ht="24" customHeight="1">
      <c r="J3135" s="26" t="s">
        <v>48</v>
      </c>
      <c r="N3135" s="29"/>
      <c r="O3135" s="26" t="s">
        <v>1365</v>
      </c>
      <c r="Q3135" s="31"/>
      <c r="S3135" s="40">
        <v>6</v>
      </c>
      <c r="T3135" s="38" t="s">
        <v>105</v>
      </c>
      <c r="U3135" s="26" t="s">
        <v>1350</v>
      </c>
      <c r="V3135" s="40">
        <f t="shared" si="278"/>
        <v>79.099999999999994</v>
      </c>
      <c r="W3135" s="26" t="s">
        <v>105</v>
      </c>
      <c r="X3135" s="40">
        <f t="shared" si="279"/>
        <v>474.59999999999997</v>
      </c>
      <c r="Y3135" s="40"/>
    </row>
    <row r="3136" spans="6:25" ht="24" customHeight="1">
      <c r="H3136" s="26" t="s">
        <v>2513</v>
      </c>
      <c r="N3136" s="29"/>
      <c r="O3136" s="26" t="s">
        <v>1366</v>
      </c>
      <c r="Q3136" s="31"/>
      <c r="S3136" s="40">
        <v>4</v>
      </c>
      <c r="T3136" s="38" t="s">
        <v>105</v>
      </c>
      <c r="U3136" s="26" t="s">
        <v>2504</v>
      </c>
      <c r="V3136" s="40">
        <f t="shared" si="278"/>
        <v>68.5</v>
      </c>
      <c r="W3136" s="26" t="s">
        <v>105</v>
      </c>
      <c r="X3136" s="40">
        <f t="shared" si="279"/>
        <v>274</v>
      </c>
      <c r="Y3136" s="40"/>
    </row>
    <row r="3137" spans="6:25" ht="24" customHeight="1">
      <c r="H3137" s="26" t="s">
        <v>27</v>
      </c>
      <c r="I3137" s="26" t="s">
        <v>27</v>
      </c>
      <c r="K3137" s="157" t="s">
        <v>27</v>
      </c>
      <c r="N3137" s="29"/>
      <c r="O3137" s="26" t="s">
        <v>1367</v>
      </c>
      <c r="Q3137" s="31"/>
      <c r="S3137" s="40">
        <v>2</v>
      </c>
      <c r="T3137" s="38" t="s">
        <v>105</v>
      </c>
      <c r="U3137" s="26" t="s">
        <v>2507</v>
      </c>
      <c r="V3137" s="40">
        <f t="shared" si="278"/>
        <v>50.9</v>
      </c>
      <c r="W3137" s="26" t="s">
        <v>105</v>
      </c>
      <c r="X3137" s="40">
        <f t="shared" si="279"/>
        <v>101.8</v>
      </c>
      <c r="Y3137" s="40"/>
    </row>
    <row r="3138" spans="6:25" ht="24" customHeight="1">
      <c r="J3138" s="26" t="s">
        <v>27</v>
      </c>
      <c r="K3138" s="26" t="s">
        <v>27</v>
      </c>
      <c r="N3138" s="29"/>
      <c r="O3138" s="26" t="s">
        <v>1368</v>
      </c>
      <c r="Q3138" s="31"/>
      <c r="S3138" s="40">
        <v>2</v>
      </c>
      <c r="T3138" s="38" t="s">
        <v>105</v>
      </c>
      <c r="U3138" s="26" t="s">
        <v>461</v>
      </c>
      <c r="V3138" s="40">
        <f t="shared" si="278"/>
        <v>7.3</v>
      </c>
      <c r="W3138" s="26" t="s">
        <v>105</v>
      </c>
      <c r="X3138" s="40">
        <f t="shared" si="279"/>
        <v>14.6</v>
      </c>
      <c r="Y3138" s="40"/>
    </row>
    <row r="3139" spans="6:25" ht="24" customHeight="1">
      <c r="H3139" s="26" t="s">
        <v>2514</v>
      </c>
      <c r="J3139" s="157" t="s">
        <v>27</v>
      </c>
      <c r="K3139" s="157" t="s">
        <v>27</v>
      </c>
      <c r="N3139" s="29"/>
      <c r="O3139" s="37" t="s">
        <v>2515</v>
      </c>
      <c r="Q3139" s="31"/>
      <c r="S3139" s="40">
        <v>10</v>
      </c>
      <c r="T3139" s="38" t="s">
        <v>105</v>
      </c>
      <c r="U3139" s="26" t="s">
        <v>2509</v>
      </c>
      <c r="V3139" s="40">
        <f t="shared" si="278"/>
        <v>2.37</v>
      </c>
      <c r="W3139" s="26" t="s">
        <v>105</v>
      </c>
      <c r="X3139" s="40">
        <f t="shared" si="279"/>
        <v>23.700000000000003</v>
      </c>
      <c r="Y3139" s="40"/>
    </row>
    <row r="3140" spans="6:25" ht="24" customHeight="1">
      <c r="H3140" s="26" t="s">
        <v>2516</v>
      </c>
      <c r="K3140" s="157">
        <v>1.26</v>
      </c>
      <c r="N3140" s="29"/>
      <c r="O3140" s="26" t="s">
        <v>2517</v>
      </c>
      <c r="P3140" s="127">
        <f>1.1*2.05</f>
        <v>2.2549999999999999</v>
      </c>
      <c r="Q3140" s="31" t="s">
        <v>480</v>
      </c>
      <c r="S3140" s="40"/>
      <c r="T3140" s="38"/>
      <c r="U3140" s="26"/>
      <c r="V3140" s="40"/>
      <c r="W3140" s="26" t="s">
        <v>105</v>
      </c>
      <c r="X3140" s="35" t="s">
        <v>48</v>
      </c>
      <c r="Y3140" s="35"/>
    </row>
    <row r="3141" spans="6:25" ht="24" customHeight="1">
      <c r="K3141" s="26" t="s">
        <v>27</v>
      </c>
      <c r="N3141" s="29"/>
      <c r="O3141" s="26" t="s">
        <v>2518</v>
      </c>
      <c r="P3141" s="390">
        <f>2*2.05*0.075*0.0375</f>
        <v>1.1531249999999998E-2</v>
      </c>
      <c r="Q3141" s="31" t="s">
        <v>475</v>
      </c>
      <c r="S3141" s="40"/>
      <c r="T3141" s="29"/>
      <c r="U3141" s="27" t="s">
        <v>2519</v>
      </c>
      <c r="W3141" s="31"/>
      <c r="X3141" s="40">
        <f>SUM(X3131:X3139)</f>
        <v>6879.8940000000002</v>
      </c>
      <c r="Y3141" s="40"/>
    </row>
    <row r="3142" spans="6:25" ht="24" customHeight="1">
      <c r="K3142" s="157" t="s">
        <v>27</v>
      </c>
      <c r="N3142" s="29"/>
      <c r="Q3142" s="26" t="s">
        <v>48</v>
      </c>
      <c r="S3142" s="28"/>
      <c r="T3142" s="29"/>
      <c r="W3142" s="31"/>
      <c r="X3142" s="35" t="s">
        <v>48</v>
      </c>
      <c r="Y3142" s="35"/>
    </row>
    <row r="3143" spans="6:25" ht="24" customHeight="1">
      <c r="K3143" s="26" t="s">
        <v>27</v>
      </c>
      <c r="N3143" s="29"/>
      <c r="O3143" s="26" t="s">
        <v>2520</v>
      </c>
      <c r="P3143" s="390">
        <f>1*3*1.1*0.15*0.0375</f>
        <v>1.8562499999999999E-2</v>
      </c>
      <c r="Q3143" s="31" t="s">
        <v>475</v>
      </c>
      <c r="S3143" s="28"/>
      <c r="T3143" s="38" t="s">
        <v>27</v>
      </c>
      <c r="U3143" s="42" t="s">
        <v>403</v>
      </c>
      <c r="W3143" s="31"/>
      <c r="X3143" s="39">
        <f>X3141/S3133</f>
        <v>3953.9620689655176</v>
      </c>
      <c r="Y3143" s="39"/>
    </row>
    <row r="3144" spans="6:25" ht="24" customHeight="1">
      <c r="F3144" s="27" t="s">
        <v>1348</v>
      </c>
      <c r="G3144" s="38"/>
      <c r="H3144" s="26" t="s">
        <v>1388</v>
      </c>
      <c r="K3144" s="26" t="s">
        <v>27</v>
      </c>
      <c r="N3144" s="29"/>
      <c r="O3144" s="26" t="s">
        <v>27</v>
      </c>
      <c r="P3144" s="26" t="s">
        <v>27</v>
      </c>
      <c r="Q3144" s="31"/>
      <c r="R3144" s="157" t="s">
        <v>27</v>
      </c>
      <c r="S3144" s="28"/>
      <c r="T3144" s="29"/>
      <c r="W3144" s="31"/>
      <c r="X3144" s="35" t="s">
        <v>41</v>
      </c>
      <c r="Y3144" s="35"/>
    </row>
    <row r="3145" spans="6:25" ht="24" customHeight="1">
      <c r="H3145" s="35" t="s">
        <v>48</v>
      </c>
      <c r="N3145" s="29"/>
      <c r="Q3145" s="26" t="s">
        <v>27</v>
      </c>
      <c r="R3145" s="26" t="s">
        <v>27</v>
      </c>
    </row>
    <row r="3146" spans="6:25" ht="24" customHeight="1">
      <c r="F3146" s="106">
        <v>1.153E-2</v>
      </c>
      <c r="G3146" s="38" t="s">
        <v>93</v>
      </c>
      <c r="H3146" s="26" t="s">
        <v>454</v>
      </c>
      <c r="I3146" s="40">
        <f>AE26</f>
        <v>111600</v>
      </c>
      <c r="J3146" s="26" t="s">
        <v>93</v>
      </c>
      <c r="K3146" s="40">
        <f>I3146*F3146</f>
        <v>1286.748</v>
      </c>
      <c r="N3146" s="29"/>
      <c r="O3146" s="26" t="s">
        <v>2521</v>
      </c>
      <c r="P3146" s="28">
        <f>1*0.625*0.975</f>
        <v>0.609375</v>
      </c>
      <c r="Q3146" s="157" t="s">
        <v>27</v>
      </c>
      <c r="R3146" s="157" t="s">
        <v>27</v>
      </c>
    </row>
    <row r="3147" spans="6:25" ht="24" customHeight="1">
      <c r="F3147" s="107">
        <v>1.52E-2</v>
      </c>
      <c r="G3147" s="38" t="s">
        <v>93</v>
      </c>
      <c r="H3147" s="26" t="s">
        <v>455</v>
      </c>
      <c r="I3147" s="40">
        <f>AE27</f>
        <v>99400</v>
      </c>
      <c r="J3147" s="26" t="s">
        <v>93</v>
      </c>
      <c r="K3147" s="40">
        <f t="shared" ref="K3147:K3155" si="280">I3147*F3147</f>
        <v>1510.88</v>
      </c>
      <c r="N3147" s="29"/>
      <c r="O3147" s="26" t="s">
        <v>2486</v>
      </c>
      <c r="P3147" s="28">
        <f>1*0.975*1.025</f>
        <v>0.9993749999999999</v>
      </c>
      <c r="Q3147" s="31"/>
      <c r="R3147" s="157">
        <v>1.26</v>
      </c>
      <c r="U3147" s="30" t="s">
        <v>2522</v>
      </c>
    </row>
    <row r="3148" spans="6:25" ht="24" customHeight="1">
      <c r="F3148" s="107">
        <f>K3140</f>
        <v>1.26</v>
      </c>
      <c r="G3148" s="38" t="s">
        <v>438</v>
      </c>
      <c r="H3148" s="26" t="s">
        <v>456</v>
      </c>
      <c r="I3148" s="40">
        <f>C783</f>
        <v>387.4</v>
      </c>
      <c r="J3148" s="26" t="s">
        <v>438</v>
      </c>
      <c r="K3148" s="40">
        <f t="shared" si="280"/>
        <v>488.12399999999997</v>
      </c>
      <c r="N3148" s="29"/>
      <c r="P3148" s="41">
        <f>SUM(P3146:P3147)</f>
        <v>1.6087499999999999</v>
      </c>
      <c r="Q3148" s="31" t="s">
        <v>480</v>
      </c>
      <c r="R3148" s="26" t="s">
        <v>27</v>
      </c>
      <c r="S3148" s="717" t="s">
        <v>2523</v>
      </c>
      <c r="T3148" s="717"/>
      <c r="U3148" s="32">
        <f>2*2*0.075*0.0375*1.95</f>
        <v>2.1937499999999999E-2</v>
      </c>
    </row>
    <row r="3149" spans="6:25" ht="24" customHeight="1">
      <c r="F3149" s="107">
        <v>1.845</v>
      </c>
      <c r="G3149" s="38" t="s">
        <v>438</v>
      </c>
      <c r="H3149" s="26" t="s">
        <v>457</v>
      </c>
      <c r="I3149" s="40">
        <f>D30</f>
        <v>1348.1999999999998</v>
      </c>
      <c r="J3149" s="26" t="s">
        <v>438</v>
      </c>
      <c r="K3149" s="40">
        <f t="shared" si="280"/>
        <v>2487.4289999999996</v>
      </c>
      <c r="N3149" s="29"/>
      <c r="Q3149" s="31"/>
      <c r="R3149" s="157" t="s">
        <v>27</v>
      </c>
      <c r="S3149" s="441" t="s">
        <v>2524</v>
      </c>
      <c r="T3149" s="29"/>
      <c r="U3149" s="390">
        <f>2*2*0.065*0.075*0.375</f>
        <v>7.3124999999999996E-3</v>
      </c>
    </row>
    <row r="3150" spans="6:25" ht="24" customHeight="1">
      <c r="F3150" s="40">
        <v>2</v>
      </c>
      <c r="G3150" s="38" t="s">
        <v>105</v>
      </c>
      <c r="H3150" s="26" t="s">
        <v>458</v>
      </c>
      <c r="I3150" s="40">
        <f>C284</f>
        <v>57.2</v>
      </c>
      <c r="J3150" s="26" t="s">
        <v>105</v>
      </c>
      <c r="K3150" s="40">
        <f t="shared" si="280"/>
        <v>114.4</v>
      </c>
      <c r="N3150" s="29"/>
      <c r="Q3150" s="31"/>
      <c r="R3150" s="26" t="s">
        <v>27</v>
      </c>
      <c r="S3150" s="441"/>
      <c r="T3150" s="29"/>
      <c r="U3150" s="328">
        <f>SUM(U3148:U3149)</f>
        <v>2.9249999999999998E-2</v>
      </c>
      <c r="V3150" s="28" t="s">
        <v>2525</v>
      </c>
    </row>
    <row r="3151" spans="6:25" ht="24" customHeight="1">
      <c r="F3151" s="40">
        <v>3</v>
      </c>
      <c r="G3151" s="38" t="s">
        <v>105</v>
      </c>
      <c r="H3151" s="26" t="s">
        <v>1350</v>
      </c>
      <c r="I3151" s="40">
        <f>C279</f>
        <v>79.099999999999994</v>
      </c>
      <c r="J3151" s="26" t="s">
        <v>105</v>
      </c>
      <c r="K3151" s="40">
        <f t="shared" si="280"/>
        <v>237.29999999999998</v>
      </c>
      <c r="M3151" s="27" t="s">
        <v>1348</v>
      </c>
      <c r="N3151" s="38"/>
      <c r="O3151" s="26" t="s">
        <v>2526</v>
      </c>
      <c r="Q3151" s="31"/>
      <c r="R3151" s="26" t="s">
        <v>27</v>
      </c>
      <c r="S3151" s="441" t="s">
        <v>2527</v>
      </c>
      <c r="T3151" s="29"/>
      <c r="U3151" s="32">
        <f>2*0.65*1.95</f>
        <v>2.5350000000000001</v>
      </c>
      <c r="V3151" s="28" t="s">
        <v>490</v>
      </c>
    </row>
    <row r="3152" spans="6:25" ht="24" customHeight="1">
      <c r="F3152" s="40">
        <v>1</v>
      </c>
      <c r="G3152" s="38" t="s">
        <v>105</v>
      </c>
      <c r="H3152" s="26" t="s">
        <v>460</v>
      </c>
      <c r="I3152" s="40">
        <f>C286</f>
        <v>159.69999999999999</v>
      </c>
      <c r="J3152" s="26" t="s">
        <v>105</v>
      </c>
      <c r="K3152" s="40">
        <f t="shared" si="280"/>
        <v>159.69999999999999</v>
      </c>
      <c r="N3152" s="29"/>
      <c r="O3152" s="35" t="s">
        <v>48</v>
      </c>
      <c r="Q3152" s="31"/>
      <c r="S3152" s="441" t="s">
        <v>2528</v>
      </c>
      <c r="T3152" s="29"/>
      <c r="U3152" s="32">
        <f>1*2*0.525*1.825</f>
        <v>1.91625</v>
      </c>
      <c r="V3152" s="28" t="s">
        <v>2529</v>
      </c>
    </row>
    <row r="3153" spans="6:25" ht="24" customHeight="1">
      <c r="F3153" s="40">
        <v>1</v>
      </c>
      <c r="G3153" s="38" t="s">
        <v>105</v>
      </c>
      <c r="H3153" s="26" t="s">
        <v>461</v>
      </c>
      <c r="I3153" s="40">
        <f>C288</f>
        <v>7.3</v>
      </c>
      <c r="J3153" s="26" t="s">
        <v>105</v>
      </c>
      <c r="K3153" s="40">
        <f t="shared" si="280"/>
        <v>7.3</v>
      </c>
      <c r="M3153" s="106">
        <f>P3141</f>
        <v>1.1531249999999998E-2</v>
      </c>
      <c r="N3153" s="38" t="s">
        <v>93</v>
      </c>
      <c r="O3153" s="26" t="s">
        <v>454</v>
      </c>
      <c r="P3153" s="40">
        <f>I3146</f>
        <v>111600</v>
      </c>
      <c r="Q3153" s="26" t="s">
        <v>93</v>
      </c>
      <c r="R3153" s="40">
        <f>P3153*M3153</f>
        <v>1286.8874999999998</v>
      </c>
      <c r="S3153" s="441" t="s">
        <v>2530</v>
      </c>
      <c r="T3153" s="29"/>
      <c r="U3153" s="32">
        <f>2*2*(0.525+1.825)</f>
        <v>9.4</v>
      </c>
      <c r="V3153" s="28" t="s">
        <v>2531</v>
      </c>
    </row>
    <row r="3154" spans="6:25" ht="24" customHeight="1">
      <c r="F3154" s="40">
        <v>1</v>
      </c>
      <c r="G3154" s="38" t="s">
        <v>105</v>
      </c>
      <c r="H3154" s="26" t="s">
        <v>1382</v>
      </c>
      <c r="I3154" s="40">
        <f>C598</f>
        <v>50.9</v>
      </c>
      <c r="J3154" s="26" t="s">
        <v>105</v>
      </c>
      <c r="K3154" s="40">
        <f t="shared" si="280"/>
        <v>50.9</v>
      </c>
      <c r="M3154" s="106">
        <f>P3143</f>
        <v>1.8562499999999999E-2</v>
      </c>
      <c r="N3154" s="38" t="s">
        <v>93</v>
      </c>
      <c r="O3154" s="26" t="s">
        <v>455</v>
      </c>
      <c r="P3154" s="40">
        <f t="shared" ref="P3154:P3162" si="281">I3147</f>
        <v>99400</v>
      </c>
      <c r="Q3154" s="26" t="s">
        <v>93</v>
      </c>
      <c r="R3154" s="40">
        <f t="shared" ref="R3154:R3163" si="282">P3154*M3154</f>
        <v>1845.1125</v>
      </c>
      <c r="S3154" s="27"/>
      <c r="T3154" s="38"/>
      <c r="W3154" s="31"/>
      <c r="X3154" s="26" t="s">
        <v>27</v>
      </c>
      <c r="Y3154" s="26"/>
    </row>
    <row r="3155" spans="6:25" ht="24" customHeight="1">
      <c r="F3155" s="40">
        <v>1</v>
      </c>
      <c r="G3155" s="38" t="s">
        <v>105</v>
      </c>
      <c r="H3155" s="26" t="s">
        <v>463</v>
      </c>
      <c r="I3155" s="40">
        <f>D598</f>
        <v>43.8</v>
      </c>
      <c r="J3155" s="26" t="s">
        <v>105</v>
      </c>
      <c r="K3155" s="40">
        <f t="shared" si="280"/>
        <v>43.8</v>
      </c>
      <c r="M3155" s="107">
        <f>P3148</f>
        <v>1.6087499999999999</v>
      </c>
      <c r="N3155" s="38" t="s">
        <v>438</v>
      </c>
      <c r="O3155" s="26" t="s">
        <v>456</v>
      </c>
      <c r="P3155" s="40">
        <f t="shared" si="281"/>
        <v>387.4</v>
      </c>
      <c r="Q3155" s="26" t="s">
        <v>438</v>
      </c>
      <c r="R3155" s="40">
        <f t="shared" si="282"/>
        <v>623.22974999999997</v>
      </c>
      <c r="S3155" s="28"/>
      <c r="T3155" s="29"/>
      <c r="U3155" s="35" t="s">
        <v>48</v>
      </c>
      <c r="W3155" s="31"/>
    </row>
    <row r="3156" spans="6:25" ht="24" customHeight="1">
      <c r="H3156" s="356" t="s">
        <v>2509</v>
      </c>
      <c r="K3156" s="138">
        <f>10*2.18</f>
        <v>21.8</v>
      </c>
      <c r="M3156" s="107">
        <f>P3140</f>
        <v>2.2549999999999999</v>
      </c>
      <c r="N3156" s="38" t="s">
        <v>438</v>
      </c>
      <c r="O3156" s="26" t="s">
        <v>457</v>
      </c>
      <c r="P3156" s="40">
        <f t="shared" si="281"/>
        <v>1348.1999999999998</v>
      </c>
      <c r="Q3156" s="26" t="s">
        <v>438</v>
      </c>
      <c r="R3156" s="40">
        <f t="shared" si="282"/>
        <v>3040.1909999999993</v>
      </c>
      <c r="S3156" s="106">
        <v>9.2099999999999994E-3</v>
      </c>
      <c r="T3156" s="38" t="s">
        <v>93</v>
      </c>
      <c r="U3156" s="26" t="s">
        <v>2496</v>
      </c>
      <c r="V3156" s="40">
        <f>V3131</f>
        <v>99400</v>
      </c>
      <c r="W3156" s="26" t="s">
        <v>93</v>
      </c>
      <c r="X3156" s="40">
        <f>V3156*S3156</f>
        <v>915.47399999999993</v>
      </c>
      <c r="Y3156" s="40"/>
    </row>
    <row r="3157" spans="6:25" ht="24" customHeight="1">
      <c r="H3157" s="27" t="s">
        <v>2532</v>
      </c>
      <c r="K3157" s="40">
        <f>SUM(K3146:K3156)</f>
        <v>6408.3809999999994</v>
      </c>
      <c r="M3157" s="40">
        <v>2</v>
      </c>
      <c r="N3157" s="38" t="s">
        <v>105</v>
      </c>
      <c r="O3157" s="26" t="s">
        <v>458</v>
      </c>
      <c r="P3157" s="40">
        <f t="shared" si="281"/>
        <v>57.2</v>
      </c>
      <c r="Q3157" s="26" t="s">
        <v>105</v>
      </c>
      <c r="R3157" s="40">
        <f t="shared" si="282"/>
        <v>114.4</v>
      </c>
      <c r="S3157" s="106">
        <v>0.65249999999999997</v>
      </c>
      <c r="T3157" s="38" t="s">
        <v>438</v>
      </c>
      <c r="U3157" s="26" t="s">
        <v>2497</v>
      </c>
      <c r="V3157" s="40">
        <f>V3132</f>
        <v>208.8</v>
      </c>
      <c r="W3157" s="26" t="s">
        <v>93</v>
      </c>
      <c r="X3157" s="40">
        <f t="shared" ref="X3157:X3164" si="283">V3157*S3157</f>
        <v>136.24199999999999</v>
      </c>
      <c r="Y3157" s="40"/>
    </row>
    <row r="3158" spans="6:25" ht="24" customHeight="1">
      <c r="G3158" s="38" t="s">
        <v>27</v>
      </c>
      <c r="K3158" s="35" t="s">
        <v>48</v>
      </c>
      <c r="M3158" s="40">
        <v>3</v>
      </c>
      <c r="N3158" s="38" t="s">
        <v>105</v>
      </c>
      <c r="O3158" s="26" t="s">
        <v>1350</v>
      </c>
      <c r="P3158" s="40">
        <f t="shared" si="281"/>
        <v>79.099999999999994</v>
      </c>
      <c r="Q3158" s="26" t="s">
        <v>105</v>
      </c>
      <c r="R3158" s="40">
        <f t="shared" si="282"/>
        <v>237.29999999999998</v>
      </c>
      <c r="S3158" s="107">
        <v>0.879</v>
      </c>
      <c r="T3158" s="38" t="s">
        <v>438</v>
      </c>
      <c r="U3158" s="26" t="s">
        <v>457</v>
      </c>
      <c r="V3158" s="40">
        <f t="shared" ref="V3158:V3163" si="284">V3133</f>
        <v>1509.1999999999998</v>
      </c>
      <c r="W3158" s="26" t="s">
        <v>438</v>
      </c>
      <c r="X3158" s="40">
        <f t="shared" si="283"/>
        <v>1326.5867999999998</v>
      </c>
      <c r="Y3158" s="40"/>
    </row>
    <row r="3159" spans="6:25" ht="24" customHeight="1">
      <c r="H3159" s="42" t="s">
        <v>403</v>
      </c>
      <c r="K3159" s="39">
        <f>K3157/F3149</f>
        <v>3473.3772357723574</v>
      </c>
      <c r="M3159" s="40">
        <v>1</v>
      </c>
      <c r="N3159" s="38" t="s">
        <v>105</v>
      </c>
      <c r="O3159" s="26" t="s">
        <v>460</v>
      </c>
      <c r="P3159" s="40">
        <f t="shared" si="281"/>
        <v>159.69999999999999</v>
      </c>
      <c r="Q3159" s="26" t="s">
        <v>105</v>
      </c>
      <c r="R3159" s="40">
        <f t="shared" si="282"/>
        <v>159.69999999999999</v>
      </c>
      <c r="S3159" s="107">
        <v>4.3250000000000002</v>
      </c>
      <c r="T3159" s="38" t="s">
        <v>2498</v>
      </c>
      <c r="U3159" s="26" t="s">
        <v>2499</v>
      </c>
      <c r="V3159" s="40">
        <f t="shared" si="284"/>
        <v>45.7</v>
      </c>
      <c r="W3159" s="26" t="s">
        <v>438</v>
      </c>
      <c r="X3159" s="40">
        <f t="shared" si="283"/>
        <v>197.65250000000003</v>
      </c>
      <c r="Y3159" s="40"/>
    </row>
    <row r="3160" spans="6:25" ht="24" customHeight="1">
      <c r="K3160" s="35" t="s">
        <v>41</v>
      </c>
      <c r="M3160" s="40">
        <v>1</v>
      </c>
      <c r="N3160" s="38" t="s">
        <v>105</v>
      </c>
      <c r="O3160" s="26" t="s">
        <v>461</v>
      </c>
      <c r="P3160" s="40">
        <f t="shared" si="281"/>
        <v>7.3</v>
      </c>
      <c r="Q3160" s="26" t="s">
        <v>105</v>
      </c>
      <c r="R3160" s="40">
        <f t="shared" si="282"/>
        <v>7.3</v>
      </c>
      <c r="S3160" s="40">
        <v>3</v>
      </c>
      <c r="T3160" s="38" t="s">
        <v>105</v>
      </c>
      <c r="U3160" s="26" t="s">
        <v>1350</v>
      </c>
      <c r="V3160" s="40">
        <f t="shared" si="284"/>
        <v>79.099999999999994</v>
      </c>
      <c r="W3160" s="26" t="s">
        <v>105</v>
      </c>
      <c r="X3160" s="40">
        <f t="shared" si="283"/>
        <v>237.29999999999998</v>
      </c>
      <c r="Y3160" s="40"/>
    </row>
    <row r="3161" spans="6:25" ht="24" customHeight="1">
      <c r="M3161" s="40">
        <v>1</v>
      </c>
      <c r="N3161" s="38" t="s">
        <v>105</v>
      </c>
      <c r="O3161" s="26" t="s">
        <v>1382</v>
      </c>
      <c r="P3161" s="40">
        <f t="shared" si="281"/>
        <v>50.9</v>
      </c>
      <c r="Q3161" s="26" t="s">
        <v>105</v>
      </c>
      <c r="R3161" s="40">
        <f t="shared" si="282"/>
        <v>50.9</v>
      </c>
      <c r="S3161" s="40">
        <v>2</v>
      </c>
      <c r="T3161" s="38" t="s">
        <v>105</v>
      </c>
      <c r="U3161" s="26" t="s">
        <v>2504</v>
      </c>
      <c r="V3161" s="40">
        <f t="shared" si="284"/>
        <v>68.5</v>
      </c>
      <c r="W3161" s="26" t="s">
        <v>105</v>
      </c>
      <c r="X3161" s="40">
        <f t="shared" si="283"/>
        <v>137</v>
      </c>
      <c r="Y3161" s="40"/>
    </row>
    <row r="3162" spans="6:25" ht="24" customHeight="1">
      <c r="M3162" s="40">
        <v>1</v>
      </c>
      <c r="N3162" s="38" t="s">
        <v>105</v>
      </c>
      <c r="O3162" s="26" t="s">
        <v>463</v>
      </c>
      <c r="P3162" s="40">
        <f t="shared" si="281"/>
        <v>43.8</v>
      </c>
      <c r="Q3162" s="26" t="s">
        <v>105</v>
      </c>
      <c r="R3162" s="40">
        <f t="shared" si="282"/>
        <v>43.8</v>
      </c>
      <c r="S3162" s="40">
        <v>1</v>
      </c>
      <c r="T3162" s="38" t="s">
        <v>105</v>
      </c>
      <c r="U3162" s="26" t="s">
        <v>2507</v>
      </c>
      <c r="V3162" s="40">
        <f t="shared" si="284"/>
        <v>50.9</v>
      </c>
      <c r="W3162" s="26" t="s">
        <v>105</v>
      </c>
      <c r="X3162" s="40">
        <f t="shared" si="283"/>
        <v>50.9</v>
      </c>
      <c r="Y3162" s="40"/>
    </row>
    <row r="3163" spans="6:25" ht="24" customHeight="1">
      <c r="M3163" s="40">
        <v>58</v>
      </c>
      <c r="N3163" s="29"/>
      <c r="O3163" s="356" t="s">
        <v>2509</v>
      </c>
      <c r="P3163" s="28">
        <f>P2864</f>
        <v>2.37</v>
      </c>
      <c r="Q3163" s="31"/>
      <c r="R3163" s="40">
        <f t="shared" si="282"/>
        <v>137.46</v>
      </c>
      <c r="S3163" s="40">
        <v>1</v>
      </c>
      <c r="T3163" s="38" t="s">
        <v>105</v>
      </c>
      <c r="U3163" s="26" t="s">
        <v>461</v>
      </c>
      <c r="V3163" s="40">
        <f t="shared" si="284"/>
        <v>7.3</v>
      </c>
      <c r="W3163" s="26" t="s">
        <v>105</v>
      </c>
      <c r="X3163" s="40">
        <f t="shared" si="283"/>
        <v>7.3</v>
      </c>
      <c r="Y3163" s="40"/>
    </row>
    <row r="3164" spans="6:25" ht="24" customHeight="1">
      <c r="N3164" s="29"/>
      <c r="O3164" s="27" t="s">
        <v>2405</v>
      </c>
      <c r="Q3164" s="31"/>
      <c r="R3164" s="40">
        <f>SUM(R3153:R3163)</f>
        <v>7546.280749999999</v>
      </c>
      <c r="S3164" s="40">
        <v>36</v>
      </c>
      <c r="T3164" s="38" t="s">
        <v>105</v>
      </c>
      <c r="U3164" s="26" t="s">
        <v>2509</v>
      </c>
      <c r="V3164" s="40">
        <f>V3139</f>
        <v>2.37</v>
      </c>
      <c r="W3164" s="26" t="s">
        <v>105</v>
      </c>
      <c r="X3164" s="40">
        <f t="shared" si="283"/>
        <v>85.320000000000007</v>
      </c>
      <c r="Y3164" s="40"/>
    </row>
    <row r="3165" spans="6:25" ht="24" customHeight="1">
      <c r="N3165" s="38" t="s">
        <v>27</v>
      </c>
      <c r="Q3165" s="31"/>
      <c r="R3165" s="35" t="s">
        <v>48</v>
      </c>
      <c r="S3165" s="40"/>
      <c r="T3165" s="38"/>
      <c r="U3165" s="26"/>
      <c r="V3165" s="40"/>
      <c r="W3165" s="26" t="s">
        <v>105</v>
      </c>
      <c r="X3165" s="35" t="s">
        <v>48</v>
      </c>
      <c r="Y3165" s="35"/>
    </row>
    <row r="3166" spans="6:25" ht="24" customHeight="1">
      <c r="H3166" s="28" t="s">
        <v>2533</v>
      </c>
      <c r="J3166" s="28"/>
      <c r="N3166" s="29"/>
      <c r="O3166" s="42" t="s">
        <v>403</v>
      </c>
      <c r="Q3166" s="31"/>
      <c r="R3166" s="39">
        <f>R3164/M3156</f>
        <v>3346.4659645232814</v>
      </c>
      <c r="S3166" s="40"/>
      <c r="T3166" s="29"/>
      <c r="U3166" s="42" t="s">
        <v>2534</v>
      </c>
      <c r="W3166" s="31"/>
      <c r="X3166" s="40">
        <f>SUM(X3156:X3164)</f>
        <v>3093.7753000000002</v>
      </c>
      <c r="Y3166" s="40"/>
    </row>
    <row r="3167" spans="6:25" ht="24" customHeight="1">
      <c r="J3167" s="28"/>
      <c r="N3167" s="29"/>
      <c r="Q3167" s="31"/>
      <c r="R3167" s="35" t="s">
        <v>41</v>
      </c>
      <c r="S3167" s="28"/>
      <c r="T3167" s="29"/>
      <c r="W3167" s="31"/>
      <c r="X3167" s="35" t="s">
        <v>48</v>
      </c>
      <c r="Y3167" s="35"/>
    </row>
    <row r="3168" spans="6:25" ht="24" customHeight="1">
      <c r="F3168" s="28">
        <v>3.23</v>
      </c>
      <c r="G3168" s="29" t="s">
        <v>488</v>
      </c>
      <c r="H3168" s="28" t="s">
        <v>2535</v>
      </c>
      <c r="I3168" s="28">
        <f>I1505</f>
        <v>48.95</v>
      </c>
      <c r="J3168" s="29" t="s">
        <v>488</v>
      </c>
      <c r="K3168" s="28">
        <f>I3168*F3168</f>
        <v>158.10850000000002</v>
      </c>
      <c r="S3168" s="28"/>
      <c r="T3168" s="38" t="s">
        <v>27</v>
      </c>
      <c r="U3168" s="42" t="s">
        <v>403</v>
      </c>
      <c r="W3168" s="31"/>
      <c r="X3168" s="39">
        <f>X3166/S3158</f>
        <v>3519.6533560864623</v>
      </c>
      <c r="Y3168" s="39"/>
    </row>
    <row r="3169" spans="6:25" ht="24" customHeight="1">
      <c r="F3169" s="28">
        <v>0.5</v>
      </c>
      <c r="G3169" s="29" t="s">
        <v>1820</v>
      </c>
      <c r="H3169" s="28" t="s">
        <v>2536</v>
      </c>
      <c r="I3169" s="28">
        <f>I1506</f>
        <v>861</v>
      </c>
      <c r="J3169" s="29" t="s">
        <v>1820</v>
      </c>
      <c r="K3169" s="28">
        <f>I3169*F3169</f>
        <v>430.5</v>
      </c>
      <c r="S3169" s="28"/>
      <c r="T3169" s="29"/>
      <c r="W3169" s="31"/>
      <c r="X3169" s="35" t="s">
        <v>41</v>
      </c>
      <c r="Y3169" s="35"/>
    </row>
    <row r="3170" spans="6:25" ht="24" customHeight="1">
      <c r="F3170" s="28">
        <v>0.5</v>
      </c>
      <c r="G3170" s="29" t="s">
        <v>1820</v>
      </c>
      <c r="H3170" s="26" t="s">
        <v>271</v>
      </c>
      <c r="I3170" s="28">
        <f>I1507</f>
        <v>702.8</v>
      </c>
      <c r="J3170" s="29" t="s">
        <v>1820</v>
      </c>
      <c r="K3170" s="28">
        <f>I3170*F3170</f>
        <v>351.4</v>
      </c>
      <c r="M3170" s="215"/>
      <c r="N3170" s="363" t="s">
        <v>67</v>
      </c>
      <c r="O3170" s="214" t="s">
        <v>2537</v>
      </c>
      <c r="P3170" s="356"/>
      <c r="Q3170" s="359"/>
      <c r="R3170" s="356"/>
    </row>
    <row r="3171" spans="6:25" ht="24" customHeight="1">
      <c r="F3171" s="28">
        <v>0.8</v>
      </c>
      <c r="G3171" s="29" t="s">
        <v>1820</v>
      </c>
      <c r="H3171" s="26" t="s">
        <v>276</v>
      </c>
      <c r="I3171" s="28">
        <f>I1508</f>
        <v>576.79999999999995</v>
      </c>
      <c r="J3171" s="29" t="s">
        <v>1820</v>
      </c>
      <c r="K3171" s="28">
        <f>I3171*F3171</f>
        <v>461.44</v>
      </c>
      <c r="M3171" s="356"/>
      <c r="N3171" s="357"/>
      <c r="O3171" s="214" t="s">
        <v>1311</v>
      </c>
      <c r="P3171" s="356"/>
      <c r="Q3171" s="359"/>
      <c r="R3171" s="356"/>
    </row>
    <row r="3172" spans="6:25" ht="24" customHeight="1">
      <c r="F3172" s="28">
        <v>10</v>
      </c>
      <c r="G3172" s="29" t="s">
        <v>788</v>
      </c>
      <c r="H3172" s="26" t="s">
        <v>2538</v>
      </c>
      <c r="I3172" s="28">
        <f>C460</f>
        <v>3.2</v>
      </c>
      <c r="J3172" s="29" t="s">
        <v>788</v>
      </c>
      <c r="K3172" s="28">
        <f>I3172*F3172</f>
        <v>32</v>
      </c>
      <c r="M3172" s="356"/>
      <c r="N3172" s="357"/>
      <c r="O3172" s="442" t="s">
        <v>2539</v>
      </c>
      <c r="P3172" s="356"/>
      <c r="Q3172" s="359"/>
      <c r="R3172" s="356"/>
    </row>
    <row r="3173" spans="6:25" ht="24" customHeight="1">
      <c r="H3173" s="26" t="s">
        <v>2540</v>
      </c>
      <c r="I3173" s="117" t="s">
        <v>363</v>
      </c>
      <c r="J3173" s="33"/>
      <c r="K3173" s="28">
        <v>1.75</v>
      </c>
      <c r="M3173" s="356"/>
      <c r="N3173" s="357"/>
      <c r="O3173" s="364" t="s">
        <v>48</v>
      </c>
      <c r="P3173" s="356"/>
      <c r="Q3173" s="359"/>
      <c r="R3173" s="356"/>
    </row>
    <row r="3174" spans="6:25" ht="24" customHeight="1">
      <c r="J3174" s="33"/>
      <c r="K3174" s="28">
        <f>SUM(K3168:K3173)</f>
        <v>1435.1985</v>
      </c>
      <c r="M3174" s="356"/>
      <c r="N3174" s="357"/>
      <c r="O3174" s="214" t="s">
        <v>2541</v>
      </c>
      <c r="P3174" s="360" t="s">
        <v>41</v>
      </c>
      <c r="Q3174" s="443">
        <v>3.1219999999999999</v>
      </c>
      <c r="R3174" s="356" t="s">
        <v>788</v>
      </c>
    </row>
    <row r="3175" spans="6:25" ht="24" customHeight="1">
      <c r="J3175" s="33"/>
      <c r="K3175" s="28">
        <f>K3174/10</f>
        <v>143.51984999999999</v>
      </c>
      <c r="M3175" s="356"/>
      <c r="N3175" s="357"/>
      <c r="O3175" s="214"/>
      <c r="P3175" s="360"/>
      <c r="Q3175" s="443"/>
      <c r="R3175" s="356"/>
    </row>
    <row r="3176" spans="6:25" ht="24" customHeight="1">
      <c r="G3176" s="28"/>
      <c r="J3176" s="28"/>
      <c r="L3176" s="28">
        <f>K3210</f>
        <v>311.61900000000003</v>
      </c>
      <c r="M3176" s="356"/>
      <c r="N3176" s="357"/>
      <c r="O3176" s="214" t="s">
        <v>2542</v>
      </c>
      <c r="P3176" s="360" t="s">
        <v>41</v>
      </c>
      <c r="Q3176" s="444">
        <v>5.1999999999999998E-2</v>
      </c>
      <c r="R3176" s="356" t="s">
        <v>249</v>
      </c>
    </row>
    <row r="3177" spans="6:25" ht="24" customHeight="1">
      <c r="G3177" s="28"/>
      <c r="J3177" s="28"/>
      <c r="L3177" s="28">
        <f>K3211</f>
        <v>602.69999999999993</v>
      </c>
      <c r="M3177" s="356"/>
      <c r="N3177" s="357"/>
      <c r="O3177" s="214" t="s">
        <v>2543</v>
      </c>
      <c r="Q3177" s="445"/>
      <c r="R3177" s="356"/>
    </row>
    <row r="3178" spans="6:25" ht="24" customHeight="1">
      <c r="G3178" s="28"/>
      <c r="J3178" s="28"/>
      <c r="M3178" s="356"/>
      <c r="N3178" s="357"/>
      <c r="O3178" s="214" t="s">
        <v>2544</v>
      </c>
      <c r="P3178" s="360" t="s">
        <v>41</v>
      </c>
      <c r="Q3178" s="446">
        <v>2.2780000000000002E-2</v>
      </c>
      <c r="R3178" s="356"/>
    </row>
    <row r="3179" spans="6:25" ht="24" customHeight="1">
      <c r="H3179" s="28" t="s">
        <v>2545</v>
      </c>
      <c r="J3179" s="28"/>
      <c r="L3179" s="28">
        <v>1.5</v>
      </c>
      <c r="M3179" s="356"/>
      <c r="N3179" s="357"/>
      <c r="O3179" s="214" t="s">
        <v>2546</v>
      </c>
      <c r="P3179" s="360" t="s">
        <v>41</v>
      </c>
      <c r="Q3179" s="446">
        <v>1.013E-2</v>
      </c>
      <c r="R3179" s="388"/>
    </row>
    <row r="3180" spans="6:25" ht="24" customHeight="1">
      <c r="J3180" s="28"/>
      <c r="L3180" s="28">
        <f>SUM(L3176:L3179)</f>
        <v>915.81899999999996</v>
      </c>
      <c r="M3180" s="356"/>
      <c r="N3180" s="357"/>
      <c r="O3180" s="356"/>
      <c r="P3180" s="356"/>
      <c r="Q3180" s="364" t="s">
        <v>48</v>
      </c>
    </row>
    <row r="3181" spans="6:25" ht="24" customHeight="1">
      <c r="F3181" s="28">
        <v>1.8</v>
      </c>
      <c r="G3181" s="29" t="s">
        <v>488</v>
      </c>
      <c r="H3181" s="28" t="s">
        <v>2535</v>
      </c>
      <c r="I3181" s="28">
        <f>I3168</f>
        <v>48.95</v>
      </c>
      <c r="J3181" s="29" t="s">
        <v>488</v>
      </c>
      <c r="K3181" s="28">
        <f>I3181*F3181</f>
        <v>88.110000000000014</v>
      </c>
      <c r="M3181" s="356"/>
      <c r="N3181" s="357"/>
      <c r="O3181" s="356"/>
      <c r="P3181" s="356"/>
      <c r="Q3181" s="447">
        <v>3.2910000000000002E-2</v>
      </c>
      <c r="R3181" s="28" t="s">
        <v>249</v>
      </c>
    </row>
    <row r="3182" spans="6:25" ht="24" customHeight="1">
      <c r="F3182" s="28">
        <v>0.25</v>
      </c>
      <c r="G3182" s="29" t="s">
        <v>1820</v>
      </c>
      <c r="H3182" s="28" t="s">
        <v>2536</v>
      </c>
      <c r="I3182" s="28">
        <f>I3169</f>
        <v>861</v>
      </c>
      <c r="J3182" s="29" t="s">
        <v>1820</v>
      </c>
      <c r="K3182" s="28">
        <f>I3182*F3182</f>
        <v>215.25</v>
      </c>
      <c r="L3182" s="28">
        <f>L3180/10</f>
        <v>91.58189999999999</v>
      </c>
      <c r="M3182" s="356"/>
      <c r="N3182" s="357"/>
      <c r="O3182" s="356"/>
      <c r="P3182" s="356"/>
      <c r="Q3182" s="364" t="s">
        <v>48</v>
      </c>
    </row>
    <row r="3183" spans="6:25" ht="24" customHeight="1">
      <c r="F3183" s="28">
        <v>0.25</v>
      </c>
      <c r="G3183" s="29" t="s">
        <v>1820</v>
      </c>
      <c r="H3183" s="26" t="s">
        <v>271</v>
      </c>
      <c r="I3183" s="28">
        <f>I3170</f>
        <v>702.8</v>
      </c>
      <c r="J3183" s="29" t="s">
        <v>1820</v>
      </c>
      <c r="K3183" s="28">
        <f>I3183*F3183</f>
        <v>175.7</v>
      </c>
      <c r="M3183" s="356"/>
      <c r="N3183" s="357"/>
      <c r="O3183" s="214" t="s">
        <v>2547</v>
      </c>
      <c r="P3183" s="356"/>
      <c r="Q3183" s="448">
        <v>1.7600000000000001E-2</v>
      </c>
      <c r="R3183" s="388"/>
    </row>
    <row r="3184" spans="6:25" ht="24" customHeight="1">
      <c r="F3184" s="28">
        <v>0.4</v>
      </c>
      <c r="G3184" s="29" t="s">
        <v>1820</v>
      </c>
      <c r="H3184" s="26" t="s">
        <v>276</v>
      </c>
      <c r="I3184" s="28">
        <f>I3171</f>
        <v>576.79999999999995</v>
      </c>
      <c r="J3184" s="29" t="s">
        <v>1820</v>
      </c>
      <c r="K3184" s="28">
        <f>I3184*F3184</f>
        <v>230.72</v>
      </c>
      <c r="M3184" s="356"/>
      <c r="N3184" s="357"/>
      <c r="O3184" s="214" t="s">
        <v>2548</v>
      </c>
      <c r="P3184" s="356"/>
      <c r="Q3184" s="449">
        <v>8.3999999999999995E-3</v>
      </c>
      <c r="R3184" s="388"/>
    </row>
    <row r="3185" spans="6:20" ht="24" customHeight="1">
      <c r="F3185" s="28">
        <v>10</v>
      </c>
      <c r="G3185" s="29" t="s">
        <v>788</v>
      </c>
      <c r="H3185" s="26" t="s">
        <v>2549</v>
      </c>
      <c r="I3185" s="28">
        <f>I3172</f>
        <v>3.2</v>
      </c>
      <c r="J3185" s="29" t="s">
        <v>788</v>
      </c>
      <c r="K3185" s="28">
        <f>I3185*F3185</f>
        <v>32</v>
      </c>
      <c r="M3185" s="356"/>
      <c r="N3185" s="357"/>
      <c r="O3185" s="214"/>
      <c r="P3185" s="356"/>
      <c r="Q3185" s="364" t="s">
        <v>48</v>
      </c>
      <c r="R3185" s="388"/>
    </row>
    <row r="3186" spans="6:20" ht="24" customHeight="1">
      <c r="H3186" s="26" t="s">
        <v>2540</v>
      </c>
      <c r="I3186" s="117" t="s">
        <v>2550</v>
      </c>
      <c r="J3186" s="33"/>
      <c r="K3186" s="28">
        <v>1.6</v>
      </c>
      <c r="M3186" s="356"/>
      <c r="N3186" s="357"/>
      <c r="O3186" s="214"/>
      <c r="P3186" s="356"/>
      <c r="Q3186" s="450">
        <v>2.5999999999999999E-2</v>
      </c>
      <c r="R3186" s="388" t="s">
        <v>249</v>
      </c>
    </row>
    <row r="3187" spans="6:20" ht="24" customHeight="1">
      <c r="J3187" s="33"/>
      <c r="K3187" s="28">
        <f>SUM(K3181:K3186)</f>
        <v>743.38</v>
      </c>
      <c r="M3187" s="356"/>
      <c r="N3187" s="357"/>
      <c r="O3187" s="356"/>
      <c r="P3187" s="356"/>
      <c r="Q3187" s="364" t="s">
        <v>48</v>
      </c>
      <c r="R3187" s="364"/>
    </row>
    <row r="3188" spans="6:20" ht="24" customHeight="1">
      <c r="J3188" s="33"/>
      <c r="K3188" s="28">
        <f>K3187/10</f>
        <v>74.337999999999994</v>
      </c>
      <c r="M3188" s="388">
        <v>5.1999999999999998E-2</v>
      </c>
      <c r="N3188" s="363" t="s">
        <v>93</v>
      </c>
      <c r="O3188" s="214" t="s">
        <v>1327</v>
      </c>
      <c r="P3188" s="212">
        <f>AE26</f>
        <v>111600</v>
      </c>
      <c r="Q3188" s="215" t="s">
        <v>93</v>
      </c>
      <c r="R3188" s="212">
        <f>P3188*M3188</f>
        <v>5803.2</v>
      </c>
    </row>
    <row r="3189" spans="6:20" ht="24" customHeight="1">
      <c r="G3189" s="28"/>
      <c r="J3189" s="28"/>
      <c r="M3189" s="388">
        <v>3.2910000000000002E-2</v>
      </c>
      <c r="N3189" s="363" t="s">
        <v>93</v>
      </c>
      <c r="O3189" s="214" t="s">
        <v>1329</v>
      </c>
      <c r="P3189" s="212">
        <f>AE27</f>
        <v>99400</v>
      </c>
      <c r="Q3189" s="215" t="s">
        <v>93</v>
      </c>
      <c r="R3189" s="212">
        <f t="shared" ref="R3189:R3199" si="285">P3189*M3189</f>
        <v>3271.2540000000004</v>
      </c>
    </row>
    <row r="3190" spans="6:20" ht="24" customHeight="1">
      <c r="G3190" s="28"/>
      <c r="J3190" s="28"/>
      <c r="M3190" s="388">
        <v>2.5999999999999999E-2</v>
      </c>
      <c r="N3190" s="363" t="s">
        <v>93</v>
      </c>
      <c r="O3190" s="214" t="s">
        <v>2551</v>
      </c>
      <c r="P3190" s="212">
        <v>101921.4</v>
      </c>
      <c r="Q3190" s="215" t="s">
        <v>93</v>
      </c>
      <c r="R3190" s="212">
        <f t="shared" si="285"/>
        <v>2649.9563999999996</v>
      </c>
    </row>
    <row r="3191" spans="6:20" ht="24" customHeight="1">
      <c r="G3191" s="28"/>
      <c r="J3191" s="28"/>
      <c r="L3191" s="28">
        <f>K3225</f>
        <v>520.14600000000007</v>
      </c>
      <c r="M3191" s="404"/>
      <c r="N3191" s="357"/>
      <c r="O3191" s="214" t="s">
        <v>2552</v>
      </c>
      <c r="P3191" s="212"/>
      <c r="Q3191" s="359"/>
      <c r="R3191" s="212">
        <f t="shared" si="285"/>
        <v>0</v>
      </c>
    </row>
    <row r="3192" spans="6:20" ht="24" customHeight="1">
      <c r="H3192" s="28" t="s">
        <v>2553</v>
      </c>
      <c r="J3192" s="28"/>
      <c r="L3192" s="28">
        <f>K3226</f>
        <v>1033.2</v>
      </c>
      <c r="M3192" s="404">
        <v>3.1219999999999999</v>
      </c>
      <c r="N3192" s="363" t="s">
        <v>438</v>
      </c>
      <c r="O3192" s="214" t="s">
        <v>1324</v>
      </c>
      <c r="P3192" s="212">
        <f>I954</f>
        <v>1617</v>
      </c>
      <c r="Q3192" s="215" t="s">
        <v>438</v>
      </c>
      <c r="R3192" s="212">
        <f t="shared" si="285"/>
        <v>5048.2739999999994</v>
      </c>
    </row>
    <row r="3193" spans="6:20" ht="24" customHeight="1">
      <c r="H3193" s="28" t="s">
        <v>1700</v>
      </c>
      <c r="J3193" s="28"/>
      <c r="M3193" s="212">
        <v>4</v>
      </c>
      <c r="N3193" s="363" t="s">
        <v>196</v>
      </c>
      <c r="O3193" s="214" t="s">
        <v>2554</v>
      </c>
      <c r="P3193" s="212">
        <f>I2637</f>
        <v>450</v>
      </c>
      <c r="Q3193" s="215" t="s">
        <v>105</v>
      </c>
      <c r="R3193" s="212">
        <f t="shared" si="285"/>
        <v>1800</v>
      </c>
    </row>
    <row r="3194" spans="6:20" ht="24" customHeight="1">
      <c r="H3194" s="28" t="s">
        <v>1701</v>
      </c>
      <c r="J3194" s="28"/>
      <c r="L3194" s="28">
        <f>K3228</f>
        <v>1.5</v>
      </c>
      <c r="M3194" s="212">
        <v>8</v>
      </c>
      <c r="N3194" s="363" t="s">
        <v>105</v>
      </c>
      <c r="O3194" s="214" t="s">
        <v>1326</v>
      </c>
      <c r="P3194" s="212">
        <f>P3158</f>
        <v>79.099999999999994</v>
      </c>
      <c r="Q3194" s="215" t="s">
        <v>105</v>
      </c>
      <c r="R3194" s="212">
        <f t="shared" si="285"/>
        <v>632.79999999999995</v>
      </c>
    </row>
    <row r="3195" spans="6:20" ht="24" customHeight="1">
      <c r="J3195" s="28"/>
      <c r="L3195" s="28">
        <f>SUM(L3191:L3194)</f>
        <v>1554.846</v>
      </c>
      <c r="M3195" s="212">
        <v>4</v>
      </c>
      <c r="N3195" s="363" t="s">
        <v>105</v>
      </c>
      <c r="O3195" s="451" t="s">
        <v>2555</v>
      </c>
      <c r="P3195" s="452">
        <v>86.3</v>
      </c>
      <c r="Q3195" s="215" t="s">
        <v>105</v>
      </c>
      <c r="R3195" s="212">
        <f t="shared" si="285"/>
        <v>345.2</v>
      </c>
    </row>
    <row r="3196" spans="6:20" ht="24" customHeight="1">
      <c r="F3196" s="28">
        <v>1.1100000000000001</v>
      </c>
      <c r="G3196" s="29" t="s">
        <v>2556</v>
      </c>
      <c r="H3196" s="28" t="s">
        <v>1689</v>
      </c>
      <c r="I3196" s="28">
        <f>I1547</f>
        <v>223.2</v>
      </c>
      <c r="J3196" s="29" t="s">
        <v>2556</v>
      </c>
      <c r="K3196" s="28">
        <f>I3196*F3196</f>
        <v>247.75200000000001</v>
      </c>
      <c r="M3196" s="212">
        <v>1</v>
      </c>
      <c r="N3196" s="363" t="s">
        <v>105</v>
      </c>
      <c r="O3196" s="451" t="s">
        <v>2557</v>
      </c>
      <c r="P3196" s="452">
        <v>185.2</v>
      </c>
      <c r="Q3196" s="215" t="s">
        <v>105</v>
      </c>
      <c r="R3196" s="212">
        <f t="shared" si="285"/>
        <v>185.2</v>
      </c>
    </row>
    <row r="3197" spans="6:20" ht="24" customHeight="1">
      <c r="F3197" s="28">
        <v>0.7</v>
      </c>
      <c r="G3197" s="29" t="s">
        <v>1820</v>
      </c>
      <c r="H3197" s="28" t="s">
        <v>1545</v>
      </c>
      <c r="I3197" s="28">
        <f>I3182</f>
        <v>861</v>
      </c>
      <c r="J3197" s="29" t="s">
        <v>1820</v>
      </c>
      <c r="K3197" s="28">
        <f>I3197*F3197</f>
        <v>602.69999999999993</v>
      </c>
      <c r="L3197" s="28">
        <f>L3195/10</f>
        <v>155.4846</v>
      </c>
      <c r="M3197" s="212">
        <v>2</v>
      </c>
      <c r="N3197" s="363" t="s">
        <v>105</v>
      </c>
      <c r="O3197" s="451" t="s">
        <v>2558</v>
      </c>
      <c r="P3197" s="452">
        <v>22.7</v>
      </c>
      <c r="Q3197" s="215" t="s">
        <v>105</v>
      </c>
      <c r="R3197" s="212">
        <f t="shared" si="285"/>
        <v>45.4</v>
      </c>
    </row>
    <row r="3198" spans="6:20" ht="24" customHeight="1">
      <c r="F3198" s="28">
        <v>10</v>
      </c>
      <c r="G3198" s="29" t="s">
        <v>788</v>
      </c>
      <c r="H3198" s="319" t="s">
        <v>2559</v>
      </c>
      <c r="I3198" s="71">
        <v>6.9</v>
      </c>
      <c r="J3198" s="29" t="s">
        <v>788</v>
      </c>
      <c r="K3198" s="28">
        <f>I3198*F3198</f>
        <v>69</v>
      </c>
      <c r="M3198" s="212">
        <v>2</v>
      </c>
      <c r="N3198" s="363" t="s">
        <v>105</v>
      </c>
      <c r="O3198" s="451" t="s">
        <v>2560</v>
      </c>
      <c r="P3198" s="452">
        <v>43.8</v>
      </c>
      <c r="Q3198" s="215" t="s">
        <v>105</v>
      </c>
      <c r="R3198" s="212">
        <f t="shared" si="285"/>
        <v>87.6</v>
      </c>
      <c r="S3198" s="32">
        <f>0.42*3.122</f>
        <v>1.31124</v>
      </c>
      <c r="T3198" s="28">
        <f>S3198+19.79</f>
        <v>21.101240000000001</v>
      </c>
    </row>
    <row r="3199" spans="6:20" ht="24" customHeight="1">
      <c r="H3199" s="26" t="s">
        <v>2540</v>
      </c>
      <c r="I3199" s="28" t="s">
        <v>363</v>
      </c>
      <c r="J3199" s="33"/>
      <c r="K3199" s="28">
        <v>1.9</v>
      </c>
      <c r="M3199" s="212">
        <v>118</v>
      </c>
      <c r="N3199" s="363" t="s">
        <v>105</v>
      </c>
      <c r="O3199" s="356" t="s">
        <v>2509</v>
      </c>
      <c r="P3199" s="356">
        <f>I961</f>
        <v>2.37</v>
      </c>
      <c r="Q3199" s="215" t="s">
        <v>105</v>
      </c>
      <c r="R3199" s="212">
        <f t="shared" si="285"/>
        <v>279.66000000000003</v>
      </c>
    </row>
    <row r="3200" spans="6:20" ht="24" customHeight="1">
      <c r="H3200" s="28" t="s">
        <v>401</v>
      </c>
      <c r="J3200" s="33"/>
      <c r="K3200" s="28">
        <f>SUM(K3196:K3199)</f>
        <v>921.35199999999998</v>
      </c>
      <c r="M3200" s="356"/>
      <c r="N3200" s="357"/>
      <c r="O3200" s="356"/>
      <c r="P3200" s="356"/>
      <c r="Q3200" s="359"/>
      <c r="R3200" s="364" t="s">
        <v>48</v>
      </c>
    </row>
    <row r="3201" spans="6:18" ht="24" customHeight="1">
      <c r="J3201" s="33"/>
      <c r="M3201" s="356"/>
      <c r="N3201" s="357"/>
      <c r="O3201" s="214" t="s">
        <v>2561</v>
      </c>
      <c r="P3201" s="356"/>
      <c r="Q3201" s="359"/>
      <c r="R3201" s="212">
        <f>SUM(R3188:R3199)</f>
        <v>20148.544399999999</v>
      </c>
    </row>
    <row r="3202" spans="6:18" ht="24" customHeight="1">
      <c r="H3202" s="28" t="s">
        <v>403</v>
      </c>
      <c r="J3202" s="33"/>
      <c r="K3202" s="28">
        <f>K3200/10</f>
        <v>92.135199999999998</v>
      </c>
      <c r="M3202" s="356"/>
      <c r="N3202" s="357"/>
      <c r="O3202" s="356"/>
      <c r="P3202" s="356"/>
      <c r="Q3202" s="359"/>
      <c r="R3202" s="364" t="s">
        <v>48</v>
      </c>
    </row>
    <row r="3203" spans="6:18" ht="24" customHeight="1">
      <c r="J3203" s="33"/>
      <c r="M3203" s="356"/>
      <c r="N3203" s="357"/>
      <c r="O3203" s="370" t="s">
        <v>403</v>
      </c>
      <c r="P3203" s="356"/>
      <c r="Q3203" s="361" t="s">
        <v>2338</v>
      </c>
      <c r="R3203" s="371">
        <f>R3201/M3192</f>
        <v>6453.7297885970529</v>
      </c>
    </row>
    <row r="3204" spans="6:18" ht="24" customHeight="1">
      <c r="J3204" s="33"/>
      <c r="M3204" s="215"/>
      <c r="N3204" s="363" t="s">
        <v>67</v>
      </c>
      <c r="O3204" s="214" t="s">
        <v>2562</v>
      </c>
      <c r="P3204" s="356"/>
      <c r="Q3204" s="359"/>
      <c r="R3204" s="356"/>
    </row>
    <row r="3205" spans="6:18" ht="24" customHeight="1">
      <c r="J3205" s="33"/>
      <c r="M3205" s="356"/>
      <c r="N3205" s="357"/>
      <c r="O3205" s="214" t="s">
        <v>1311</v>
      </c>
      <c r="P3205" s="356"/>
      <c r="Q3205" s="359"/>
      <c r="R3205" s="356"/>
    </row>
    <row r="3206" spans="6:18" ht="24" customHeight="1">
      <c r="H3206" s="28" t="s">
        <v>2553</v>
      </c>
      <c r="J3206" s="33"/>
      <c r="M3206" s="356"/>
      <c r="N3206" s="357"/>
      <c r="O3206" s="442" t="s">
        <v>2539</v>
      </c>
      <c r="P3206" s="356"/>
      <c r="Q3206" s="359"/>
      <c r="R3206" s="356"/>
    </row>
    <row r="3207" spans="6:18" ht="24" customHeight="1">
      <c r="H3207" s="28" t="s">
        <v>1684</v>
      </c>
      <c r="J3207" s="33"/>
      <c r="L3207" s="28">
        <f>K3241</f>
        <v>421.84799999999996</v>
      </c>
      <c r="M3207" s="356"/>
      <c r="N3207" s="357"/>
      <c r="O3207" s="364" t="s">
        <v>48</v>
      </c>
      <c r="P3207" s="356"/>
      <c r="Q3207" s="359"/>
      <c r="R3207" s="356"/>
    </row>
    <row r="3208" spans="6:18" ht="24" customHeight="1">
      <c r="H3208" s="28" t="s">
        <v>1701</v>
      </c>
      <c r="J3208" s="33"/>
      <c r="L3208" s="28">
        <f>K3242</f>
        <v>947.1</v>
      </c>
      <c r="M3208" s="356"/>
      <c r="N3208" s="357"/>
      <c r="O3208" s="214" t="s">
        <v>2541</v>
      </c>
      <c r="P3208" s="360" t="s">
        <v>41</v>
      </c>
      <c r="Q3208" s="443">
        <v>3.1219999999999999</v>
      </c>
      <c r="R3208" s="409" t="s">
        <v>788</v>
      </c>
    </row>
    <row r="3209" spans="6:18" ht="24" customHeight="1">
      <c r="J3209" s="33"/>
      <c r="M3209" s="356"/>
      <c r="N3209" s="357"/>
      <c r="O3209" s="214"/>
      <c r="P3209" s="360"/>
      <c r="Q3209" s="443"/>
      <c r="R3209" s="409"/>
    </row>
    <row r="3210" spans="6:18" ht="24" customHeight="1">
      <c r="F3210" s="28">
        <v>1.33</v>
      </c>
      <c r="G3210" s="29" t="s">
        <v>2556</v>
      </c>
      <c r="H3210" s="28" t="s">
        <v>1689</v>
      </c>
      <c r="I3210" s="28">
        <f>I1534</f>
        <v>234.3</v>
      </c>
      <c r="J3210" s="29" t="s">
        <v>2556</v>
      </c>
      <c r="K3210" s="28">
        <f>I3210*F3210</f>
        <v>311.61900000000003</v>
      </c>
      <c r="L3210" s="28">
        <f>K3244</f>
        <v>1.9</v>
      </c>
      <c r="M3210" s="356"/>
      <c r="N3210" s="357"/>
      <c r="O3210" s="214" t="s">
        <v>2542</v>
      </c>
      <c r="P3210" s="360" t="s">
        <v>41</v>
      </c>
      <c r="Q3210" s="444">
        <v>5.1999999999999998E-2</v>
      </c>
      <c r="R3210" s="409" t="s">
        <v>249</v>
      </c>
    </row>
    <row r="3211" spans="6:18" ht="24" customHeight="1">
      <c r="F3211" s="28">
        <v>0.7</v>
      </c>
      <c r="G3211" s="29" t="s">
        <v>1820</v>
      </c>
      <c r="H3211" s="28" t="s">
        <v>1545</v>
      </c>
      <c r="I3211" s="28">
        <f>I3197</f>
        <v>861</v>
      </c>
      <c r="J3211" s="29" t="s">
        <v>1820</v>
      </c>
      <c r="K3211" s="28">
        <f>I3211*F3211</f>
        <v>602.69999999999993</v>
      </c>
      <c r="L3211" s="28">
        <f>SUM(L3207:L3210)</f>
        <v>1370.848</v>
      </c>
      <c r="M3211" s="356"/>
      <c r="N3211" s="357"/>
      <c r="O3211" s="214" t="s">
        <v>2543</v>
      </c>
      <c r="Q3211" s="445"/>
      <c r="R3211" s="409"/>
    </row>
    <row r="3212" spans="6:18" ht="24" customHeight="1">
      <c r="F3212" s="28">
        <v>10</v>
      </c>
      <c r="G3212" s="29" t="s">
        <v>788</v>
      </c>
      <c r="H3212" s="135" t="s">
        <v>2563</v>
      </c>
      <c r="I3212" s="71">
        <v>7.4</v>
      </c>
      <c r="J3212" s="29" t="s">
        <v>788</v>
      </c>
      <c r="K3212" s="28">
        <f>I3212*F3212</f>
        <v>74</v>
      </c>
      <c r="M3212" s="356"/>
      <c r="N3212" s="357"/>
      <c r="O3212" s="214" t="s">
        <v>2564</v>
      </c>
      <c r="P3212" s="360" t="s">
        <v>41</v>
      </c>
      <c r="Q3212" s="446">
        <v>2.2780000000000002E-2</v>
      </c>
      <c r="R3212" s="409"/>
    </row>
    <row r="3213" spans="6:18" ht="24" customHeight="1">
      <c r="H3213" s="28" t="s">
        <v>2540</v>
      </c>
      <c r="I3213" s="28" t="s">
        <v>363</v>
      </c>
      <c r="J3213" s="33"/>
      <c r="K3213" s="28">
        <v>1.5</v>
      </c>
      <c r="M3213" s="356"/>
      <c r="N3213" s="357"/>
      <c r="O3213" s="214" t="s">
        <v>2546</v>
      </c>
      <c r="P3213" s="360" t="s">
        <v>41</v>
      </c>
      <c r="Q3213" s="446">
        <v>1.013E-2</v>
      </c>
      <c r="R3213" s="410"/>
    </row>
    <row r="3214" spans="6:18" ht="24" customHeight="1">
      <c r="H3214" s="28" t="s">
        <v>401</v>
      </c>
      <c r="J3214" s="33"/>
      <c r="K3214" s="28">
        <f>SUM(K3210:K3213)</f>
        <v>989.81899999999996</v>
      </c>
      <c r="M3214" s="356"/>
      <c r="N3214" s="357"/>
      <c r="O3214" s="356"/>
      <c r="P3214" s="356"/>
      <c r="Q3214" s="453" t="s">
        <v>2565</v>
      </c>
      <c r="R3214" s="31"/>
    </row>
    <row r="3215" spans="6:18" ht="24" customHeight="1">
      <c r="J3215" s="33"/>
      <c r="M3215" s="356"/>
      <c r="N3215" s="357"/>
      <c r="O3215" s="356"/>
      <c r="P3215" s="356"/>
      <c r="Q3215" s="447">
        <v>3.2910000000000002E-2</v>
      </c>
      <c r="R3215" s="31" t="s">
        <v>249</v>
      </c>
    </row>
    <row r="3216" spans="6:18" ht="24" customHeight="1">
      <c r="H3216" s="28" t="s">
        <v>403</v>
      </c>
      <c r="J3216" s="33"/>
      <c r="K3216" s="28">
        <f>K3214/10</f>
        <v>98.981899999999996</v>
      </c>
      <c r="M3216" s="356"/>
      <c r="N3216" s="357"/>
      <c r="O3216" s="356"/>
      <c r="P3216" s="356"/>
      <c r="Q3216" s="453" t="s">
        <v>2565</v>
      </c>
      <c r="R3216" s="31"/>
    </row>
    <row r="3217" spans="6:18" ht="24" customHeight="1">
      <c r="J3217" s="33"/>
      <c r="M3217" s="356"/>
      <c r="N3217" s="357"/>
      <c r="O3217" s="214" t="s">
        <v>2566</v>
      </c>
      <c r="P3217" s="356"/>
      <c r="Q3217" s="329">
        <v>0.94</v>
      </c>
      <c r="R3217" s="410" t="s">
        <v>788</v>
      </c>
    </row>
    <row r="3218" spans="6:18" ht="24" customHeight="1">
      <c r="J3218" s="33"/>
      <c r="M3218" s="356"/>
      <c r="N3218" s="357"/>
      <c r="O3218" s="214" t="s">
        <v>2567</v>
      </c>
      <c r="P3218" s="356"/>
      <c r="Q3218" s="450">
        <v>8.3999999999999995E-3</v>
      </c>
      <c r="R3218" s="410" t="s">
        <v>249</v>
      </c>
    </row>
    <row r="3219" spans="6:18" ht="24" customHeight="1">
      <c r="J3219" s="33"/>
      <c r="M3219" s="356"/>
      <c r="N3219" s="357"/>
      <c r="O3219" s="214" t="s">
        <v>2568</v>
      </c>
      <c r="P3219" s="356"/>
      <c r="Q3219" s="450">
        <v>7.9</v>
      </c>
      <c r="R3219" s="410" t="s">
        <v>1125</v>
      </c>
    </row>
    <row r="3220" spans="6:18" ht="24" customHeight="1">
      <c r="J3220" s="33"/>
      <c r="M3220" s="356"/>
      <c r="N3220" s="357"/>
      <c r="O3220" s="356"/>
      <c r="P3220" s="356"/>
      <c r="Q3220" s="364"/>
      <c r="R3220" s="364"/>
    </row>
    <row r="3221" spans="6:18" ht="24" customHeight="1">
      <c r="H3221" s="28" t="s">
        <v>2569</v>
      </c>
      <c r="J3221" s="33"/>
      <c r="M3221" s="388">
        <v>5.1999999999999998E-2</v>
      </c>
      <c r="N3221" s="363" t="s">
        <v>93</v>
      </c>
      <c r="O3221" s="214" t="s">
        <v>1327</v>
      </c>
      <c r="P3221" s="212">
        <f>P3188</f>
        <v>111600</v>
      </c>
      <c r="Q3221" s="215" t="s">
        <v>93</v>
      </c>
      <c r="R3221" s="212">
        <f>P3221*M3221</f>
        <v>5803.2</v>
      </c>
    </row>
    <row r="3222" spans="6:18" ht="24" customHeight="1">
      <c r="H3222" s="28" t="s">
        <v>1684</v>
      </c>
      <c r="J3222" s="33"/>
      <c r="M3222" s="388">
        <v>3.2910000000000002E-2</v>
      </c>
      <c r="N3222" s="363" t="s">
        <v>93</v>
      </c>
      <c r="O3222" s="214" t="s">
        <v>1329</v>
      </c>
      <c r="P3222" s="212">
        <f>P3189</f>
        <v>99400</v>
      </c>
      <c r="Q3222" s="215" t="s">
        <v>93</v>
      </c>
      <c r="R3222" s="212">
        <f t="shared" ref="R3222:R3234" si="286">P3222*M3222</f>
        <v>3271.2540000000004</v>
      </c>
    </row>
    <row r="3223" spans="6:18" ht="24" customHeight="1">
      <c r="H3223" s="28" t="s">
        <v>1701</v>
      </c>
      <c r="J3223" s="33"/>
      <c r="M3223" s="388">
        <v>8.3999999999999995E-3</v>
      </c>
      <c r="N3223" s="363" t="s">
        <v>93</v>
      </c>
      <c r="O3223" s="454" t="s">
        <v>2551</v>
      </c>
      <c r="P3223" s="212">
        <f>P3190</f>
        <v>101921.4</v>
      </c>
      <c r="Q3223" s="215" t="s">
        <v>93</v>
      </c>
      <c r="R3223" s="212">
        <f t="shared" si="286"/>
        <v>856.13975999999991</v>
      </c>
    </row>
    <row r="3224" spans="6:18" ht="24" customHeight="1">
      <c r="J3224" s="33"/>
      <c r="M3224" s="404"/>
      <c r="N3224" s="357"/>
      <c r="O3224" s="214" t="s">
        <v>2570</v>
      </c>
      <c r="P3224" s="212"/>
      <c r="Q3224" s="359"/>
      <c r="R3224" s="212">
        <f t="shared" si="286"/>
        <v>0</v>
      </c>
    </row>
    <row r="3225" spans="6:18" ht="24" customHeight="1">
      <c r="F3225" s="28">
        <v>2.2200000000000002</v>
      </c>
      <c r="G3225" s="29" t="s">
        <v>2556</v>
      </c>
      <c r="H3225" s="28" t="s">
        <v>1689</v>
      </c>
      <c r="I3225" s="28">
        <f>I3210</f>
        <v>234.3</v>
      </c>
      <c r="J3225" s="29" t="s">
        <v>2556</v>
      </c>
      <c r="K3225" s="28">
        <f>I3225*F3225</f>
        <v>520.14600000000007</v>
      </c>
      <c r="M3225" s="404">
        <v>0.94</v>
      </c>
      <c r="N3225" s="363" t="s">
        <v>438</v>
      </c>
      <c r="O3225" s="454" t="s">
        <v>2571</v>
      </c>
      <c r="P3225" s="452">
        <v>355.5</v>
      </c>
      <c r="Q3225" s="359" t="s">
        <v>438</v>
      </c>
      <c r="R3225" s="212">
        <f t="shared" si="286"/>
        <v>334.16999999999996</v>
      </c>
    </row>
    <row r="3226" spans="6:18" ht="24" customHeight="1">
      <c r="F3226" s="28">
        <v>1.2</v>
      </c>
      <c r="G3226" s="29" t="s">
        <v>1820</v>
      </c>
      <c r="H3226" s="28" t="s">
        <v>1545</v>
      </c>
      <c r="I3226" s="28">
        <f>I3211</f>
        <v>861</v>
      </c>
      <c r="J3226" s="29" t="s">
        <v>1820</v>
      </c>
      <c r="K3226" s="28">
        <f>I3226*F3226</f>
        <v>1033.2</v>
      </c>
      <c r="M3226" s="404">
        <v>7.9</v>
      </c>
      <c r="N3226" s="363" t="s">
        <v>244</v>
      </c>
      <c r="O3226" s="454" t="s">
        <v>2572</v>
      </c>
      <c r="P3226" s="452">
        <v>15.15</v>
      </c>
      <c r="Q3226" s="359" t="s">
        <v>1125</v>
      </c>
      <c r="R3226" s="212">
        <f t="shared" si="286"/>
        <v>119.685</v>
      </c>
    </row>
    <row r="3227" spans="6:18" ht="24" customHeight="1">
      <c r="F3227" s="28">
        <v>10</v>
      </c>
      <c r="G3227" s="29" t="s">
        <v>788</v>
      </c>
      <c r="H3227" s="28" t="s">
        <v>2549</v>
      </c>
      <c r="I3227" s="28">
        <f>I3212</f>
        <v>7.4</v>
      </c>
      <c r="J3227" s="29" t="s">
        <v>788</v>
      </c>
      <c r="K3227" s="28">
        <f>I3227*F3227</f>
        <v>74</v>
      </c>
      <c r="M3227" s="404">
        <v>3.1219999999999999</v>
      </c>
      <c r="N3227" s="363" t="s">
        <v>438</v>
      </c>
      <c r="O3227" s="454" t="s">
        <v>2573</v>
      </c>
      <c r="P3227" s="452">
        <v>1078</v>
      </c>
      <c r="Q3227" s="215" t="s">
        <v>438</v>
      </c>
      <c r="R3227" s="212">
        <f t="shared" si="286"/>
        <v>3365.5160000000001</v>
      </c>
    </row>
    <row r="3228" spans="6:18" ht="24" customHeight="1">
      <c r="H3228" s="28" t="s">
        <v>2540</v>
      </c>
      <c r="I3228" s="28" t="s">
        <v>363</v>
      </c>
      <c r="J3228" s="33"/>
      <c r="K3228" s="28">
        <v>1.5</v>
      </c>
      <c r="M3228" s="212">
        <v>4</v>
      </c>
      <c r="N3228" s="363" t="s">
        <v>196</v>
      </c>
      <c r="O3228" s="214" t="s">
        <v>2574</v>
      </c>
      <c r="P3228" s="212">
        <f>C598</f>
        <v>50.9</v>
      </c>
      <c r="Q3228" s="215" t="s">
        <v>105</v>
      </c>
      <c r="R3228" s="212">
        <f t="shared" si="286"/>
        <v>203.6</v>
      </c>
    </row>
    <row r="3229" spans="6:18" ht="24" customHeight="1">
      <c r="H3229" s="28" t="s">
        <v>401</v>
      </c>
      <c r="J3229" s="33"/>
      <c r="K3229" s="28">
        <f>SUM(K3225:K3228)</f>
        <v>1628.846</v>
      </c>
      <c r="M3229" s="212">
        <v>8</v>
      </c>
      <c r="N3229" s="363" t="s">
        <v>105</v>
      </c>
      <c r="O3229" s="214" t="s">
        <v>2575</v>
      </c>
      <c r="P3229" s="212">
        <f>C279</f>
        <v>79.099999999999994</v>
      </c>
      <c r="Q3229" s="215" t="s">
        <v>105</v>
      </c>
      <c r="R3229" s="212">
        <f t="shared" si="286"/>
        <v>632.79999999999995</v>
      </c>
    </row>
    <row r="3230" spans="6:18" ht="24" customHeight="1">
      <c r="J3230" s="33"/>
      <c r="M3230" s="212">
        <v>4</v>
      </c>
      <c r="N3230" s="363" t="s">
        <v>105</v>
      </c>
      <c r="O3230" s="214" t="s">
        <v>2576</v>
      </c>
      <c r="P3230" s="212">
        <f>P3195</f>
        <v>86.3</v>
      </c>
      <c r="Q3230" s="215" t="s">
        <v>105</v>
      </c>
      <c r="R3230" s="212">
        <f t="shared" si="286"/>
        <v>345.2</v>
      </c>
    </row>
    <row r="3231" spans="6:18" ht="24" customHeight="1">
      <c r="H3231" s="28" t="s">
        <v>403</v>
      </c>
      <c r="J3231" s="33"/>
      <c r="K3231" s="28">
        <f>K3229/10</f>
        <v>162.88460000000001</v>
      </c>
      <c r="M3231" s="212">
        <v>1</v>
      </c>
      <c r="N3231" s="363" t="s">
        <v>105</v>
      </c>
      <c r="O3231" s="214" t="s">
        <v>2577</v>
      </c>
      <c r="P3231" s="212">
        <f>P3196</f>
        <v>185.2</v>
      </c>
      <c r="Q3231" s="215" t="s">
        <v>105</v>
      </c>
      <c r="R3231" s="212">
        <f t="shared" si="286"/>
        <v>185.2</v>
      </c>
    </row>
    <row r="3232" spans="6:18" ht="24" customHeight="1">
      <c r="J3232" s="33"/>
      <c r="L3232" s="28">
        <f>K3266</f>
        <v>279</v>
      </c>
      <c r="M3232" s="212">
        <v>2</v>
      </c>
      <c r="N3232" s="363" t="s">
        <v>105</v>
      </c>
      <c r="O3232" s="214" t="s">
        <v>2578</v>
      </c>
      <c r="P3232" s="212">
        <f>P3197</f>
        <v>22.7</v>
      </c>
      <c r="Q3232" s="215" t="s">
        <v>105</v>
      </c>
      <c r="R3232" s="212">
        <f t="shared" si="286"/>
        <v>45.4</v>
      </c>
    </row>
    <row r="3233" spans="6:25" ht="24" customHeight="1">
      <c r="J3233" s="33"/>
      <c r="L3233" s="28">
        <f>K3267</f>
        <v>215.25</v>
      </c>
      <c r="M3233" s="212">
        <v>2</v>
      </c>
      <c r="N3233" s="363" t="s">
        <v>105</v>
      </c>
      <c r="O3233" s="214" t="s">
        <v>2579</v>
      </c>
      <c r="P3233" s="212">
        <f>P3198</f>
        <v>43.8</v>
      </c>
      <c r="Q3233" s="215" t="s">
        <v>105</v>
      </c>
      <c r="R3233" s="212">
        <f t="shared" si="286"/>
        <v>87.6</v>
      </c>
    </row>
    <row r="3234" spans="6:25" ht="24" customHeight="1">
      <c r="J3234" s="33"/>
      <c r="L3234" s="28">
        <f>K3268</f>
        <v>175.7</v>
      </c>
      <c r="M3234" s="212">
        <v>118</v>
      </c>
      <c r="N3234" s="363" t="s">
        <v>105</v>
      </c>
      <c r="O3234" s="356" t="s">
        <v>2509</v>
      </c>
      <c r="P3234" s="356">
        <f>P3199</f>
        <v>2.37</v>
      </c>
      <c r="Q3234" s="215" t="s">
        <v>105</v>
      </c>
      <c r="R3234" s="212">
        <f t="shared" si="286"/>
        <v>279.66000000000003</v>
      </c>
    </row>
    <row r="3235" spans="6:25" ht="24" customHeight="1">
      <c r="J3235" s="33"/>
      <c r="L3235" s="28">
        <f>K3269</f>
        <v>230.72</v>
      </c>
      <c r="M3235" s="356"/>
      <c r="N3235" s="357"/>
      <c r="O3235" s="356"/>
      <c r="P3235" s="356"/>
      <c r="Q3235" s="359"/>
      <c r="R3235" s="364" t="s">
        <v>48</v>
      </c>
    </row>
    <row r="3236" spans="6:25" ht="24" customHeight="1">
      <c r="J3236" s="33"/>
      <c r="L3236" s="28">
        <f>K3270</f>
        <v>1.65</v>
      </c>
      <c r="M3236" s="356"/>
      <c r="N3236" s="357"/>
      <c r="O3236" s="214" t="s">
        <v>2561</v>
      </c>
      <c r="P3236" s="356"/>
      <c r="Q3236" s="359"/>
      <c r="R3236" s="212">
        <f>SUM(R3221:R3234)</f>
        <v>15529.42476</v>
      </c>
    </row>
    <row r="3237" spans="6:25" ht="24" customHeight="1">
      <c r="H3237" s="28" t="s">
        <v>2569</v>
      </c>
      <c r="J3237" s="33"/>
      <c r="M3237" s="356"/>
      <c r="N3237" s="357"/>
      <c r="O3237" s="356"/>
      <c r="P3237" s="356"/>
      <c r="Q3237" s="359"/>
      <c r="R3237" s="364" t="s">
        <v>48</v>
      </c>
    </row>
    <row r="3238" spans="6:25" ht="24" customHeight="1">
      <c r="H3238" s="28" t="s">
        <v>1700</v>
      </c>
      <c r="J3238" s="33"/>
      <c r="M3238" s="356"/>
      <c r="N3238" s="357"/>
      <c r="O3238" s="370" t="s">
        <v>403</v>
      </c>
      <c r="P3238" s="356"/>
      <c r="Q3238" s="361" t="s">
        <v>2338</v>
      </c>
      <c r="R3238" s="371">
        <f>R3236/M3227</f>
        <v>4974.1911467008331</v>
      </c>
    </row>
    <row r="3239" spans="6:25" ht="24" customHeight="1">
      <c r="H3239" s="28" t="s">
        <v>1701</v>
      </c>
      <c r="J3239" s="33"/>
      <c r="L3239" s="28">
        <f>SUM(L3232:L3238)</f>
        <v>902.32</v>
      </c>
      <c r="M3239" s="215"/>
      <c r="N3239" s="363" t="s">
        <v>67</v>
      </c>
      <c r="O3239" s="214" t="s">
        <v>2537</v>
      </c>
      <c r="P3239" s="356"/>
      <c r="Q3239" s="359"/>
      <c r="R3239" s="356"/>
    </row>
    <row r="3240" spans="6:25" ht="24" customHeight="1">
      <c r="J3240" s="33"/>
      <c r="M3240" s="356"/>
      <c r="N3240" s="357"/>
      <c r="O3240" s="214" t="s">
        <v>1311</v>
      </c>
      <c r="P3240" s="356"/>
      <c r="Q3240" s="359"/>
      <c r="R3240" s="356"/>
    </row>
    <row r="3241" spans="6:25" ht="24" customHeight="1">
      <c r="F3241" s="28">
        <v>1.89</v>
      </c>
      <c r="G3241" s="29" t="s">
        <v>2556</v>
      </c>
      <c r="H3241" s="28" t="s">
        <v>1689</v>
      </c>
      <c r="I3241" s="28">
        <f>I3196</f>
        <v>223.2</v>
      </c>
      <c r="J3241" s="29" t="s">
        <v>2556</v>
      </c>
      <c r="K3241" s="28">
        <f>I3241*F3241</f>
        <v>421.84799999999996</v>
      </c>
      <c r="L3241" s="28">
        <f>L3239/10</f>
        <v>90.231999999999999</v>
      </c>
      <c r="M3241" s="356"/>
      <c r="N3241" s="357"/>
      <c r="O3241" s="442" t="s">
        <v>2580</v>
      </c>
      <c r="P3241" s="356"/>
      <c r="Q3241" s="359"/>
      <c r="R3241" s="356"/>
    </row>
    <row r="3242" spans="6:25" ht="24" customHeight="1">
      <c r="F3242" s="28">
        <v>1.1000000000000001</v>
      </c>
      <c r="G3242" s="29" t="s">
        <v>1820</v>
      </c>
      <c r="H3242" s="28" t="s">
        <v>1545</v>
      </c>
      <c r="I3242" s="28">
        <f>I3197</f>
        <v>861</v>
      </c>
      <c r="J3242" s="29" t="s">
        <v>1820</v>
      </c>
      <c r="K3242" s="28">
        <f>I3242*F3242</f>
        <v>947.1</v>
      </c>
      <c r="M3242" s="356"/>
      <c r="N3242" s="357"/>
      <c r="O3242" s="364" t="s">
        <v>48</v>
      </c>
      <c r="P3242" s="356"/>
      <c r="Q3242" s="359"/>
      <c r="R3242" s="356"/>
    </row>
    <row r="3243" spans="6:25" ht="30" customHeight="1">
      <c r="F3243" s="28">
        <v>10</v>
      </c>
      <c r="G3243" s="29" t="s">
        <v>788</v>
      </c>
      <c r="H3243" s="26" t="s">
        <v>2549</v>
      </c>
      <c r="I3243" s="71">
        <v>6.5</v>
      </c>
      <c r="J3243" s="29" t="s">
        <v>788</v>
      </c>
      <c r="K3243" s="28">
        <f>I3243*F3243</f>
        <v>65</v>
      </c>
      <c r="M3243" s="356"/>
      <c r="N3243" s="357"/>
      <c r="O3243" s="214" t="s">
        <v>2581</v>
      </c>
      <c r="P3243" s="360" t="s">
        <v>41</v>
      </c>
      <c r="Q3243" s="443">
        <v>2.4279999999999999</v>
      </c>
      <c r="R3243" s="356" t="s">
        <v>788</v>
      </c>
    </row>
    <row r="3244" spans="6:25" ht="30" customHeight="1">
      <c r="H3244" s="26" t="s">
        <v>2540</v>
      </c>
      <c r="I3244" s="28" t="s">
        <v>363</v>
      </c>
      <c r="J3244" s="33"/>
      <c r="K3244" s="28">
        <v>1.9</v>
      </c>
      <c r="M3244" s="356"/>
      <c r="N3244" s="357"/>
      <c r="O3244" s="214"/>
      <c r="P3244" s="360"/>
      <c r="Q3244" s="443"/>
      <c r="R3244" s="356"/>
    </row>
    <row r="3245" spans="6:25" ht="30" customHeight="1">
      <c r="H3245" s="28" t="s">
        <v>401</v>
      </c>
      <c r="J3245" s="33"/>
      <c r="K3245" s="28">
        <f>SUM(K3241:K3244)</f>
        <v>1435.848</v>
      </c>
      <c r="M3245" s="356"/>
      <c r="N3245" s="357"/>
      <c r="O3245" s="214" t="s">
        <v>2542</v>
      </c>
      <c r="P3245" s="360" t="s">
        <v>41</v>
      </c>
      <c r="Q3245" s="444">
        <v>5.1999999999999998E-2</v>
      </c>
      <c r="R3245" s="356" t="s">
        <v>249</v>
      </c>
      <c r="T3245" s="41" t="s">
        <v>2582</v>
      </c>
    </row>
    <row r="3246" spans="6:25" ht="30" customHeight="1">
      <c r="J3246" s="33"/>
      <c r="M3246" s="356"/>
      <c r="N3246" s="357"/>
      <c r="O3246" s="214" t="s">
        <v>2543</v>
      </c>
      <c r="Q3246" s="445"/>
      <c r="R3246" s="356"/>
      <c r="T3246" s="41" t="s">
        <v>2583</v>
      </c>
    </row>
    <row r="3247" spans="6:25" ht="30" customHeight="1">
      <c r="H3247" s="28" t="s">
        <v>403</v>
      </c>
      <c r="J3247" s="33"/>
      <c r="K3247" s="28">
        <f>K3245/10</f>
        <v>143.5848</v>
      </c>
      <c r="M3247" s="356"/>
      <c r="N3247" s="357"/>
      <c r="O3247" s="214" t="s">
        <v>2584</v>
      </c>
      <c r="P3247" s="360" t="s">
        <v>41</v>
      </c>
      <c r="Q3247" s="455">
        <v>1.7718999999999999E-2</v>
      </c>
      <c r="R3247" s="356"/>
      <c r="S3247" s="456">
        <v>6.3E-2</v>
      </c>
      <c r="T3247" s="101" t="s">
        <v>93</v>
      </c>
      <c r="U3247" s="41" t="s">
        <v>1415</v>
      </c>
      <c r="V3247" s="41">
        <f>P3291</f>
        <v>111600</v>
      </c>
      <c r="W3247" s="86" t="s">
        <v>93</v>
      </c>
      <c r="X3247" s="41">
        <f>V3247*S3247</f>
        <v>7030.8</v>
      </c>
      <c r="Y3247" s="41"/>
    </row>
    <row r="3248" spans="6:25" ht="30" customHeight="1">
      <c r="G3248" s="28"/>
      <c r="J3248" s="28"/>
      <c r="M3248" s="356"/>
      <c r="N3248" s="357"/>
      <c r="O3248" s="214" t="s">
        <v>2585</v>
      </c>
      <c r="P3248" s="360" t="s">
        <v>41</v>
      </c>
      <c r="Q3248" s="455">
        <v>7.8750000000000001E-3</v>
      </c>
      <c r="R3248" s="388"/>
      <c r="S3248" s="456">
        <v>4.8000000000000001E-2</v>
      </c>
      <c r="T3248" s="101" t="s">
        <v>93</v>
      </c>
      <c r="U3248" s="41" t="s">
        <v>2586</v>
      </c>
      <c r="V3248" s="41">
        <f>I3280</f>
        <v>99400</v>
      </c>
      <c r="W3248" s="86" t="s">
        <v>93</v>
      </c>
      <c r="X3248" s="41">
        <f>V3248*S3248</f>
        <v>4771.2</v>
      </c>
      <c r="Y3248" s="41"/>
    </row>
    <row r="3249" spans="6:25" ht="30" customHeight="1">
      <c r="G3249" s="28"/>
      <c r="H3249" s="26" t="s">
        <v>1480</v>
      </c>
      <c r="J3249" s="28"/>
      <c r="M3249" s="356"/>
      <c r="N3249" s="357"/>
      <c r="O3249" s="356"/>
      <c r="P3249" s="356"/>
      <c r="Q3249" s="364" t="s">
        <v>48</v>
      </c>
      <c r="S3249" s="456">
        <v>1.54</v>
      </c>
      <c r="T3249" s="101" t="s">
        <v>438</v>
      </c>
      <c r="U3249" s="41" t="s">
        <v>2587</v>
      </c>
      <c r="V3249" s="41">
        <f t="shared" ref="V3249:V3258" si="287">I3281</f>
        <v>2152</v>
      </c>
      <c r="W3249" s="86" t="s">
        <v>788</v>
      </c>
      <c r="X3249" s="41">
        <f t="shared" ref="X3249:X3258" si="288">V3249*S3249</f>
        <v>3314.08</v>
      </c>
      <c r="Y3249" s="41"/>
    </row>
    <row r="3250" spans="6:25" ht="30" customHeight="1">
      <c r="G3250" s="28"/>
      <c r="H3250" s="26" t="s">
        <v>2588</v>
      </c>
      <c r="J3250" s="28"/>
      <c r="M3250" s="356"/>
      <c r="N3250" s="357"/>
      <c r="O3250" s="356"/>
      <c r="P3250" s="356"/>
      <c r="Q3250" s="447">
        <v>2.5590000000000002E-2</v>
      </c>
      <c r="R3250" s="28" t="s">
        <v>249</v>
      </c>
      <c r="S3250" s="456">
        <v>3.9E-2</v>
      </c>
      <c r="T3250" s="101" t="s">
        <v>93</v>
      </c>
      <c r="U3250" s="145" t="s">
        <v>1417</v>
      </c>
      <c r="V3250" s="41">
        <f t="shared" si="287"/>
        <v>95000</v>
      </c>
      <c r="W3250" s="86" t="s">
        <v>93</v>
      </c>
      <c r="X3250" s="41">
        <f t="shared" si="288"/>
        <v>3705</v>
      </c>
      <c r="Y3250" s="41"/>
    </row>
    <row r="3251" spans="6:25" ht="30" customHeight="1">
      <c r="G3251" s="28"/>
      <c r="J3251" s="28"/>
      <c r="M3251" s="356"/>
      <c r="N3251" s="357"/>
      <c r="O3251" s="356"/>
      <c r="P3251" s="356"/>
      <c r="Q3251" s="364" t="s">
        <v>48</v>
      </c>
      <c r="S3251" s="456">
        <v>3.488</v>
      </c>
      <c r="T3251" s="101" t="s">
        <v>438</v>
      </c>
      <c r="U3251" s="145" t="s">
        <v>1418</v>
      </c>
      <c r="V3251" s="41">
        <f t="shared" si="287"/>
        <v>1617</v>
      </c>
      <c r="W3251" s="86" t="s">
        <v>438</v>
      </c>
      <c r="X3251" s="41">
        <f t="shared" si="288"/>
        <v>5640.0959999999995</v>
      </c>
      <c r="Y3251" s="41"/>
    </row>
    <row r="3252" spans="6:25" ht="30" customHeight="1">
      <c r="F3252" s="40">
        <v>0.22</v>
      </c>
      <c r="G3252" s="38" t="s">
        <v>93</v>
      </c>
      <c r="H3252" s="26" t="s">
        <v>245</v>
      </c>
      <c r="I3252" s="40">
        <f>K49</f>
        <v>4558.04</v>
      </c>
      <c r="J3252" s="27" t="s">
        <v>93</v>
      </c>
      <c r="K3252" s="40">
        <f>(F3252*I3252)</f>
        <v>1002.7687999999999</v>
      </c>
      <c r="M3252" s="356"/>
      <c r="N3252" s="357"/>
      <c r="O3252" s="214" t="s">
        <v>2589</v>
      </c>
      <c r="P3252" s="356"/>
      <c r="Q3252" s="448">
        <v>1.0999999999999999E-2</v>
      </c>
      <c r="R3252" s="388"/>
      <c r="S3252" s="456">
        <v>6</v>
      </c>
      <c r="T3252" s="101" t="s">
        <v>1420</v>
      </c>
      <c r="U3252" s="41" t="s">
        <v>2590</v>
      </c>
      <c r="V3252" s="41">
        <f t="shared" si="287"/>
        <v>79</v>
      </c>
      <c r="W3252" s="86" t="s">
        <v>793</v>
      </c>
      <c r="X3252" s="41">
        <f t="shared" si="288"/>
        <v>474</v>
      </c>
      <c r="Y3252" s="41"/>
    </row>
    <row r="3253" spans="6:25" ht="30" customHeight="1">
      <c r="F3253" s="40">
        <v>2.2000000000000002</v>
      </c>
      <c r="G3253" s="38" t="s">
        <v>196</v>
      </c>
      <c r="H3253" s="26" t="s">
        <v>298</v>
      </c>
      <c r="I3253" s="40">
        <f>AG9</f>
        <v>1076.5999999999999</v>
      </c>
      <c r="J3253" s="27" t="s">
        <v>196</v>
      </c>
      <c r="K3253" s="40">
        <f>(F3253*I3253)</f>
        <v>2368.52</v>
      </c>
      <c r="M3253" s="356"/>
      <c r="N3253" s="357"/>
      <c r="O3253" s="214" t="s">
        <v>2591</v>
      </c>
      <c r="P3253" s="356"/>
      <c r="Q3253" s="449">
        <v>5.3E-3</v>
      </c>
      <c r="R3253" s="388"/>
      <c r="S3253" s="456">
        <v>1</v>
      </c>
      <c r="T3253" s="101" t="s">
        <v>1420</v>
      </c>
      <c r="U3253" s="41" t="s">
        <v>2592</v>
      </c>
      <c r="V3253" s="41">
        <f t="shared" si="287"/>
        <v>260</v>
      </c>
      <c r="W3253" s="86" t="s">
        <v>793</v>
      </c>
      <c r="X3253" s="41">
        <f t="shared" si="288"/>
        <v>260</v>
      </c>
      <c r="Y3253" s="41"/>
    </row>
    <row r="3254" spans="6:25" ht="30" customHeight="1">
      <c r="F3254" s="40">
        <v>0.5</v>
      </c>
      <c r="G3254" s="38" t="s">
        <v>196</v>
      </c>
      <c r="H3254" s="26" t="s">
        <v>1482</v>
      </c>
      <c r="I3254" s="40">
        <f>I3183</f>
        <v>702.8</v>
      </c>
      <c r="J3254" s="27" t="s">
        <v>196</v>
      </c>
      <c r="K3254" s="40">
        <f>(F3254*I3254)</f>
        <v>351.4</v>
      </c>
      <c r="M3254" s="356"/>
      <c r="N3254" s="357"/>
      <c r="O3254" s="214"/>
      <c r="P3254" s="356"/>
      <c r="Q3254" s="364" t="s">
        <v>48</v>
      </c>
      <c r="R3254" s="388"/>
      <c r="S3254" s="456">
        <v>2</v>
      </c>
      <c r="T3254" s="101" t="s">
        <v>1420</v>
      </c>
      <c r="U3254" s="41" t="s">
        <v>2593</v>
      </c>
      <c r="V3254" s="41">
        <f t="shared" si="287"/>
        <v>130</v>
      </c>
      <c r="W3254" s="86" t="s">
        <v>793</v>
      </c>
      <c r="X3254" s="41">
        <f t="shared" si="288"/>
        <v>260</v>
      </c>
      <c r="Y3254" s="41"/>
    </row>
    <row r="3255" spans="6:25" ht="30" customHeight="1">
      <c r="F3255" s="40">
        <v>3.2</v>
      </c>
      <c r="G3255" s="38" t="s">
        <v>196</v>
      </c>
      <c r="H3255" s="26" t="s">
        <v>276</v>
      </c>
      <c r="I3255" s="40">
        <f>I3184</f>
        <v>576.79999999999995</v>
      </c>
      <c r="J3255" s="27" t="s">
        <v>196</v>
      </c>
      <c r="K3255" s="40">
        <f>(F3255*I3255)</f>
        <v>1845.76</v>
      </c>
      <c r="M3255" s="356"/>
      <c r="N3255" s="357"/>
      <c r="O3255" s="214"/>
      <c r="P3255" s="356"/>
      <c r="Q3255" s="450">
        <v>1.6299999999999999E-2</v>
      </c>
      <c r="R3255" s="388" t="s">
        <v>249</v>
      </c>
      <c r="S3255" s="456">
        <v>2</v>
      </c>
      <c r="T3255" s="101" t="s">
        <v>1420</v>
      </c>
      <c r="U3255" s="41" t="s">
        <v>2594</v>
      </c>
      <c r="V3255" s="41">
        <f t="shared" si="287"/>
        <v>165</v>
      </c>
      <c r="W3255" s="86" t="s">
        <v>793</v>
      </c>
      <c r="X3255" s="41">
        <f t="shared" si="288"/>
        <v>330</v>
      </c>
      <c r="Y3255" s="41"/>
    </row>
    <row r="3256" spans="6:25" ht="39.75" customHeight="1">
      <c r="F3256" s="40">
        <v>10</v>
      </c>
      <c r="G3256" s="38" t="s">
        <v>480</v>
      </c>
      <c r="H3256" s="457" t="s">
        <v>2595</v>
      </c>
      <c r="I3256" s="130">
        <v>7.7</v>
      </c>
      <c r="J3256" s="27" t="s">
        <v>480</v>
      </c>
      <c r="K3256" s="40">
        <f>(F3256*I3256)</f>
        <v>77</v>
      </c>
      <c r="M3256" s="356"/>
      <c r="N3256" s="357"/>
      <c r="O3256" s="356"/>
      <c r="P3256" s="356"/>
      <c r="Q3256" s="364" t="s">
        <v>48</v>
      </c>
      <c r="R3256" s="364"/>
      <c r="S3256" s="456">
        <v>1</v>
      </c>
      <c r="T3256" s="101" t="s">
        <v>1420</v>
      </c>
      <c r="U3256" s="41" t="s">
        <v>2596</v>
      </c>
      <c r="V3256" s="41">
        <f t="shared" si="287"/>
        <v>985</v>
      </c>
      <c r="W3256" s="86" t="s">
        <v>793</v>
      </c>
      <c r="X3256" s="41">
        <f t="shared" si="288"/>
        <v>985</v>
      </c>
      <c r="Y3256" s="41"/>
    </row>
    <row r="3257" spans="6:25" ht="30" customHeight="1">
      <c r="J3257" s="33"/>
      <c r="K3257" s="35" t="s">
        <v>48</v>
      </c>
      <c r="M3257" s="388">
        <v>5.1999999999999998E-2</v>
      </c>
      <c r="N3257" s="363" t="s">
        <v>93</v>
      </c>
      <c r="O3257" s="214" t="s">
        <v>1327</v>
      </c>
      <c r="P3257" s="212">
        <f>P3188</f>
        <v>111600</v>
      </c>
      <c r="Q3257" s="215" t="s">
        <v>93</v>
      </c>
      <c r="R3257" s="212">
        <f>P3257*M3257</f>
        <v>5803.2</v>
      </c>
      <c r="S3257" s="456">
        <v>2</v>
      </c>
      <c r="T3257" s="101" t="s">
        <v>1420</v>
      </c>
      <c r="U3257" s="41" t="s">
        <v>2597</v>
      </c>
      <c r="V3257" s="41">
        <f t="shared" si="287"/>
        <v>450</v>
      </c>
      <c r="W3257" s="86" t="s">
        <v>793</v>
      </c>
      <c r="X3257" s="41">
        <f t="shared" si="288"/>
        <v>900</v>
      </c>
      <c r="Y3257" s="41"/>
    </row>
    <row r="3258" spans="6:25" ht="30" customHeight="1">
      <c r="H3258" s="26" t="s">
        <v>401</v>
      </c>
      <c r="J3258" s="33"/>
      <c r="K3258" s="40">
        <f>SUM(K3252:K3257)</f>
        <v>5645.4488000000001</v>
      </c>
      <c r="M3258" s="388">
        <v>2.5590000000000002E-2</v>
      </c>
      <c r="N3258" s="363" t="s">
        <v>93</v>
      </c>
      <c r="O3258" s="214" t="s">
        <v>1329</v>
      </c>
      <c r="P3258" s="212">
        <f>P3189</f>
        <v>99400</v>
      </c>
      <c r="Q3258" s="215" t="s">
        <v>93</v>
      </c>
      <c r="R3258" s="212">
        <f t="shared" ref="R3258:R3268" si="289">P3258*M3258</f>
        <v>2543.6460000000002</v>
      </c>
      <c r="S3258" s="456">
        <v>0</v>
      </c>
      <c r="T3258" s="101" t="s">
        <v>969</v>
      </c>
      <c r="U3258" s="41" t="s">
        <v>2598</v>
      </c>
      <c r="V3258" s="41">
        <f t="shared" si="287"/>
        <v>2.37</v>
      </c>
      <c r="W3258" s="86" t="s">
        <v>793</v>
      </c>
      <c r="X3258" s="402">
        <f t="shared" si="288"/>
        <v>0</v>
      </c>
      <c r="Y3258" s="402"/>
    </row>
    <row r="3259" spans="6:25" ht="30" customHeight="1">
      <c r="J3259" s="33"/>
      <c r="K3259" s="35" t="s">
        <v>48</v>
      </c>
      <c r="M3259" s="388">
        <v>1.6299999999999999E-2</v>
      </c>
      <c r="N3259" s="363" t="s">
        <v>93</v>
      </c>
      <c r="O3259" s="454" t="s">
        <v>2599</v>
      </c>
      <c r="P3259" s="458">
        <f>AE28</f>
        <v>95000</v>
      </c>
      <c r="Q3259" s="215" t="s">
        <v>93</v>
      </c>
      <c r="R3259" s="212">
        <f t="shared" si="289"/>
        <v>1548.4999999999998</v>
      </c>
      <c r="S3259" s="456"/>
      <c r="T3259" s="101"/>
      <c r="U3259" s="41" t="s">
        <v>2600</v>
      </c>
      <c r="V3259" s="41"/>
      <c r="W3259" s="86"/>
      <c r="X3259" s="41">
        <f>SUM(X3247:X3258)</f>
        <v>27670.175999999999</v>
      </c>
      <c r="Y3259" s="41"/>
    </row>
    <row r="3260" spans="6:25" ht="30" customHeight="1">
      <c r="H3260" s="26" t="s">
        <v>403</v>
      </c>
      <c r="J3260" s="33"/>
      <c r="K3260" s="40">
        <f>(K3258/10)</f>
        <v>564.54488000000003</v>
      </c>
      <c r="M3260" s="404"/>
      <c r="N3260" s="357"/>
      <c r="O3260" s="214" t="s">
        <v>1404</v>
      </c>
      <c r="P3260" s="212"/>
      <c r="Q3260" s="359"/>
      <c r="R3260" s="212">
        <f t="shared" si="289"/>
        <v>0</v>
      </c>
      <c r="S3260" s="456"/>
      <c r="T3260" s="101"/>
      <c r="U3260" s="41"/>
      <c r="V3260" s="41"/>
      <c r="W3260" s="86"/>
      <c r="X3260" s="402" t="s">
        <v>1430</v>
      </c>
      <c r="Y3260" s="402"/>
    </row>
    <row r="3261" spans="6:25" ht="24" customHeight="1">
      <c r="J3261" s="33"/>
      <c r="K3261" s="35" t="s">
        <v>41</v>
      </c>
      <c r="M3261" s="404">
        <v>2.4279999999999999</v>
      </c>
      <c r="N3261" s="363" t="s">
        <v>438</v>
      </c>
      <c r="O3261" s="214" t="s">
        <v>1324</v>
      </c>
      <c r="P3261" s="212">
        <f t="shared" ref="P3261:P3267" si="290">P3192</f>
        <v>1617</v>
      </c>
      <c r="Q3261" s="215" t="s">
        <v>438</v>
      </c>
      <c r="R3261" s="212">
        <f t="shared" si="289"/>
        <v>3926.076</v>
      </c>
      <c r="S3261" s="456"/>
      <c r="T3261" s="101"/>
      <c r="U3261" s="41" t="s">
        <v>2601</v>
      </c>
      <c r="V3261" s="41"/>
      <c r="W3261" s="86"/>
      <c r="X3261" s="41">
        <f>X3259/S3251</f>
        <v>7932.9633027522932</v>
      </c>
      <c r="Y3261" s="41"/>
    </row>
    <row r="3262" spans="6:25" ht="24" customHeight="1">
      <c r="G3262" s="28"/>
      <c r="J3262" s="28"/>
      <c r="K3262" s="28">
        <f>54000+7000</f>
        <v>61000</v>
      </c>
      <c r="M3262" s="212">
        <v>4</v>
      </c>
      <c r="N3262" s="363" t="s">
        <v>196</v>
      </c>
      <c r="O3262" s="214" t="s">
        <v>2554</v>
      </c>
      <c r="P3262" s="212">
        <f>P3228</f>
        <v>50.9</v>
      </c>
      <c r="Q3262" s="215" t="s">
        <v>105</v>
      </c>
      <c r="R3262" s="212">
        <f t="shared" si="289"/>
        <v>203.6</v>
      </c>
      <c r="S3262" s="456"/>
      <c r="T3262" s="101"/>
      <c r="U3262" s="41"/>
      <c r="V3262" s="41"/>
      <c r="W3262" s="86"/>
      <c r="X3262" s="402" t="s">
        <v>1430</v>
      </c>
      <c r="Y3262" s="402"/>
    </row>
    <row r="3263" spans="6:25" ht="24" customHeight="1">
      <c r="G3263" s="28"/>
      <c r="J3263" s="28"/>
      <c r="M3263" s="212">
        <v>8</v>
      </c>
      <c r="N3263" s="363" t="s">
        <v>105</v>
      </c>
      <c r="O3263" s="214" t="s">
        <v>1326</v>
      </c>
      <c r="P3263" s="212">
        <f>P3229</f>
        <v>79.099999999999994</v>
      </c>
      <c r="Q3263" s="215" t="s">
        <v>105</v>
      </c>
      <c r="R3263" s="212">
        <f t="shared" si="289"/>
        <v>632.79999999999995</v>
      </c>
    </row>
    <row r="3264" spans="6:25" ht="24" customHeight="1">
      <c r="F3264" s="27" t="s">
        <v>1674</v>
      </c>
      <c r="G3264" s="38" t="s">
        <v>67</v>
      </c>
      <c r="H3264" s="27" t="s">
        <v>2602</v>
      </c>
      <c r="J3264" s="33"/>
      <c r="M3264" s="212">
        <v>4</v>
      </c>
      <c r="N3264" s="363" t="s">
        <v>105</v>
      </c>
      <c r="O3264" s="214" t="s">
        <v>2576</v>
      </c>
      <c r="P3264" s="212">
        <f t="shared" si="290"/>
        <v>86.3</v>
      </c>
      <c r="Q3264" s="215" t="s">
        <v>105</v>
      </c>
      <c r="R3264" s="212">
        <f t="shared" si="289"/>
        <v>345.2</v>
      </c>
    </row>
    <row r="3265" spans="6:18" ht="24" customHeight="1">
      <c r="H3265" s="27" t="s">
        <v>611</v>
      </c>
      <c r="J3265" s="33"/>
      <c r="M3265" s="212">
        <v>1</v>
      </c>
      <c r="N3265" s="363" t="s">
        <v>105</v>
      </c>
      <c r="O3265" s="214" t="s">
        <v>2577</v>
      </c>
      <c r="P3265" s="212">
        <f t="shared" si="290"/>
        <v>185.2</v>
      </c>
      <c r="Q3265" s="215" t="s">
        <v>105</v>
      </c>
      <c r="R3265" s="212">
        <f t="shared" si="289"/>
        <v>185.2</v>
      </c>
    </row>
    <row r="3266" spans="6:18" ht="24" customHeight="1">
      <c r="F3266" s="40">
        <v>1.8</v>
      </c>
      <c r="G3266" s="38" t="s">
        <v>1677</v>
      </c>
      <c r="H3266" s="26" t="s">
        <v>1678</v>
      </c>
      <c r="I3266" s="40">
        <f>E271</f>
        <v>155</v>
      </c>
      <c r="J3266" s="27" t="s">
        <v>1677</v>
      </c>
      <c r="K3266" s="40">
        <f>(F3266*I3266)</f>
        <v>279</v>
      </c>
      <c r="M3266" s="212">
        <v>2</v>
      </c>
      <c r="N3266" s="363" t="s">
        <v>105</v>
      </c>
      <c r="O3266" s="214" t="s">
        <v>2578</v>
      </c>
      <c r="P3266" s="212">
        <f t="shared" si="290"/>
        <v>22.7</v>
      </c>
      <c r="Q3266" s="215" t="s">
        <v>105</v>
      </c>
      <c r="R3266" s="212">
        <f t="shared" si="289"/>
        <v>45.4</v>
      </c>
    </row>
    <row r="3267" spans="6:18" ht="24" customHeight="1">
      <c r="F3267" s="40">
        <v>0.25</v>
      </c>
      <c r="G3267" s="38" t="s">
        <v>791</v>
      </c>
      <c r="H3267" s="26" t="s">
        <v>1679</v>
      </c>
      <c r="I3267" s="40">
        <f>I3242</f>
        <v>861</v>
      </c>
      <c r="J3267" s="27" t="s">
        <v>791</v>
      </c>
      <c r="K3267" s="40">
        <f>(F3267*I3267)</f>
        <v>215.25</v>
      </c>
      <c r="M3267" s="212">
        <v>2</v>
      </c>
      <c r="N3267" s="363" t="s">
        <v>105</v>
      </c>
      <c r="O3267" s="214" t="s">
        <v>2579</v>
      </c>
      <c r="P3267" s="212">
        <f t="shared" si="290"/>
        <v>43.8</v>
      </c>
      <c r="Q3267" s="215" t="s">
        <v>105</v>
      </c>
      <c r="R3267" s="212">
        <f t="shared" si="289"/>
        <v>87.6</v>
      </c>
    </row>
    <row r="3268" spans="6:18" ht="24" customHeight="1">
      <c r="F3268" s="40">
        <v>0.25</v>
      </c>
      <c r="G3268" s="38" t="s">
        <v>791</v>
      </c>
      <c r="H3268" s="26" t="s">
        <v>795</v>
      </c>
      <c r="I3268" s="40">
        <f>I3183</f>
        <v>702.8</v>
      </c>
      <c r="J3268" s="27" t="s">
        <v>791</v>
      </c>
      <c r="K3268" s="40">
        <f>(F3268*I3268)</f>
        <v>175.7</v>
      </c>
      <c r="M3268" s="356">
        <v>118</v>
      </c>
      <c r="N3268" s="363" t="s">
        <v>105</v>
      </c>
      <c r="O3268" s="356" t="s">
        <v>2509</v>
      </c>
      <c r="P3268" s="356">
        <f>P3234</f>
        <v>2.37</v>
      </c>
      <c r="Q3268" s="359"/>
      <c r="R3268" s="212">
        <f t="shared" si="289"/>
        <v>279.66000000000003</v>
      </c>
    </row>
    <row r="3269" spans="6:18" ht="24" customHeight="1">
      <c r="F3269" s="40">
        <v>0.4</v>
      </c>
      <c r="G3269" s="38" t="s">
        <v>791</v>
      </c>
      <c r="H3269" s="26" t="s">
        <v>1680</v>
      </c>
      <c r="I3269" s="40">
        <f>I3184</f>
        <v>576.79999999999995</v>
      </c>
      <c r="J3269" s="27" t="s">
        <v>791</v>
      </c>
      <c r="K3269" s="40">
        <f>(F3269*I3269)</f>
        <v>230.72</v>
      </c>
      <c r="M3269" s="356"/>
      <c r="N3269" s="357"/>
      <c r="O3269" s="356"/>
      <c r="P3269" s="356"/>
      <c r="Q3269" s="359"/>
      <c r="R3269" s="364" t="s">
        <v>48</v>
      </c>
    </row>
    <row r="3270" spans="6:18" ht="24" customHeight="1">
      <c r="G3270" s="38" t="s">
        <v>106</v>
      </c>
      <c r="H3270" s="26" t="s">
        <v>603</v>
      </c>
      <c r="J3270" s="27" t="s">
        <v>106</v>
      </c>
      <c r="K3270" s="40">
        <v>1.65</v>
      </c>
      <c r="M3270" s="356"/>
      <c r="N3270" s="357"/>
      <c r="O3270" s="214" t="s">
        <v>2603</v>
      </c>
      <c r="P3270" s="356"/>
      <c r="Q3270" s="359"/>
      <c r="R3270" s="212">
        <f>SUM(R3257:R3268)</f>
        <v>15600.882</v>
      </c>
    </row>
    <row r="3271" spans="6:18" ht="24" customHeight="1">
      <c r="F3271" s="28">
        <v>10</v>
      </c>
      <c r="H3271" s="26" t="s">
        <v>2604</v>
      </c>
      <c r="I3271" s="28">
        <f>I3172</f>
        <v>3.2</v>
      </c>
      <c r="J3271" s="33" t="s">
        <v>480</v>
      </c>
      <c r="K3271" s="40">
        <f>I3271*F3271</f>
        <v>32</v>
      </c>
      <c r="M3271" s="356"/>
      <c r="N3271" s="357"/>
      <c r="O3271" s="356"/>
      <c r="P3271" s="356"/>
      <c r="Q3271" s="359"/>
      <c r="R3271" s="364" t="s">
        <v>48</v>
      </c>
    </row>
    <row r="3272" spans="6:18" ht="24" customHeight="1">
      <c r="J3272" s="33"/>
      <c r="K3272" s="35" t="s">
        <v>48</v>
      </c>
      <c r="M3272" s="356"/>
      <c r="N3272" s="357"/>
      <c r="O3272" s="370" t="s">
        <v>403</v>
      </c>
      <c r="P3272" s="356"/>
      <c r="Q3272" s="361" t="s">
        <v>2338</v>
      </c>
      <c r="R3272" s="371">
        <f>R3270/M3261</f>
        <v>6425.4044481054361</v>
      </c>
    </row>
    <row r="3273" spans="6:18" ht="24" customHeight="1">
      <c r="H3273" s="27" t="s">
        <v>1682</v>
      </c>
      <c r="J3273" s="33"/>
      <c r="K3273" s="40">
        <f>SUM(K3266:K3272)</f>
        <v>934.32</v>
      </c>
      <c r="M3273" s="215"/>
      <c r="N3273" s="363" t="s">
        <v>67</v>
      </c>
      <c r="O3273" s="214" t="s">
        <v>2605</v>
      </c>
      <c r="P3273" s="356"/>
      <c r="Q3273" s="359"/>
      <c r="R3273" s="356"/>
    </row>
    <row r="3274" spans="6:18" ht="24" customHeight="1">
      <c r="J3274" s="33"/>
      <c r="K3274" s="35" t="s">
        <v>48</v>
      </c>
      <c r="M3274" s="356"/>
      <c r="N3274" s="357"/>
      <c r="O3274" s="214" t="s">
        <v>1311</v>
      </c>
      <c r="P3274" s="356"/>
      <c r="Q3274" s="359"/>
      <c r="R3274" s="356"/>
    </row>
    <row r="3275" spans="6:18" ht="24" customHeight="1">
      <c r="F3275" s="26" t="s">
        <v>27</v>
      </c>
      <c r="G3275" s="38" t="s">
        <v>27</v>
      </c>
      <c r="H3275" s="27" t="s">
        <v>1468</v>
      </c>
      <c r="I3275" s="26" t="s">
        <v>27</v>
      </c>
      <c r="J3275" s="27" t="s">
        <v>27</v>
      </c>
      <c r="K3275" s="40">
        <f>K3273/10</f>
        <v>93.432000000000002</v>
      </c>
      <c r="M3275" s="356"/>
      <c r="N3275" s="357"/>
      <c r="O3275" s="442" t="s">
        <v>2580</v>
      </c>
      <c r="P3275" s="356"/>
      <c r="Q3275" s="359"/>
      <c r="R3275" s="356"/>
    </row>
    <row r="3276" spans="6:18" ht="24" customHeight="1">
      <c r="J3276" s="33"/>
      <c r="K3276" s="35" t="s">
        <v>41</v>
      </c>
      <c r="M3276" s="356"/>
      <c r="N3276" s="357"/>
      <c r="O3276" s="364" t="s">
        <v>48</v>
      </c>
      <c r="P3276" s="356"/>
      <c r="Q3276" s="359"/>
      <c r="R3276" s="356"/>
    </row>
    <row r="3277" spans="6:18" ht="24" customHeight="1">
      <c r="G3277" s="41" t="s">
        <v>2606</v>
      </c>
      <c r="J3277" s="28"/>
      <c r="M3277" s="356"/>
      <c r="N3277" s="357"/>
      <c r="O3277" s="214" t="s">
        <v>2581</v>
      </c>
      <c r="P3277" s="360" t="s">
        <v>41</v>
      </c>
      <c r="Q3277" s="443">
        <v>2.4279999999999999</v>
      </c>
      <c r="R3277" s="356" t="s">
        <v>788</v>
      </c>
    </row>
    <row r="3278" spans="6:18" ht="24" customHeight="1">
      <c r="G3278" s="41" t="s">
        <v>2583</v>
      </c>
      <c r="J3278" s="28"/>
      <c r="M3278" s="356"/>
      <c r="N3278" s="357"/>
      <c r="O3278" s="214"/>
      <c r="P3278" s="360"/>
      <c r="Q3278" s="443"/>
      <c r="R3278" s="356"/>
    </row>
    <row r="3279" spans="6:18" ht="24" customHeight="1">
      <c r="G3279" s="28"/>
      <c r="J3279" s="28"/>
      <c r="M3279" s="356"/>
      <c r="N3279" s="357"/>
      <c r="O3279" s="214" t="s">
        <v>2542</v>
      </c>
      <c r="P3279" s="360" t="s">
        <v>41</v>
      </c>
      <c r="Q3279" s="444">
        <v>5.1999999999999998E-2</v>
      </c>
      <c r="R3279" s="356" t="s">
        <v>249</v>
      </c>
    </row>
    <row r="3280" spans="6:18" ht="24" customHeight="1">
      <c r="F3280" s="400">
        <v>0.10299999999999999</v>
      </c>
      <c r="G3280" s="101" t="s">
        <v>93</v>
      </c>
      <c r="H3280" s="41" t="s">
        <v>2586</v>
      </c>
      <c r="I3280" s="41">
        <f>I1102</f>
        <v>99400</v>
      </c>
      <c r="J3280" s="86" t="s">
        <v>93</v>
      </c>
      <c r="K3280" s="41">
        <f>I3280*F3280</f>
        <v>10238.199999999999</v>
      </c>
      <c r="M3280" s="356"/>
      <c r="N3280" s="357"/>
      <c r="O3280" s="214" t="s">
        <v>2543</v>
      </c>
      <c r="Q3280" s="445"/>
      <c r="R3280" s="356"/>
    </row>
    <row r="3281" spans="6:18" ht="24" customHeight="1">
      <c r="F3281" s="400">
        <v>1.32</v>
      </c>
      <c r="G3281" s="101" t="s">
        <v>438</v>
      </c>
      <c r="H3281" s="41" t="s">
        <v>2587</v>
      </c>
      <c r="I3281" s="459">
        <v>2152</v>
      </c>
      <c r="J3281" s="86" t="s">
        <v>788</v>
      </c>
      <c r="K3281" s="41">
        <f t="shared" ref="K3281:K3290" si="291">I3281*F3281</f>
        <v>2840.6400000000003</v>
      </c>
      <c r="M3281" s="356"/>
      <c r="N3281" s="357"/>
      <c r="O3281" s="214" t="s">
        <v>2584</v>
      </c>
      <c r="P3281" s="360" t="s">
        <v>41</v>
      </c>
      <c r="Q3281" s="455">
        <v>1.7718999999999999E-2</v>
      </c>
      <c r="R3281" s="356"/>
    </row>
    <row r="3282" spans="6:18" ht="24" customHeight="1">
      <c r="F3282" s="401">
        <v>3.3000000000000002E-2</v>
      </c>
      <c r="G3282" s="101" t="s">
        <v>93</v>
      </c>
      <c r="H3282" s="145" t="s">
        <v>1417</v>
      </c>
      <c r="I3282" s="41">
        <f>AE28</f>
        <v>95000</v>
      </c>
      <c r="J3282" s="86" t="s">
        <v>93</v>
      </c>
      <c r="K3282" s="41">
        <f t="shared" si="291"/>
        <v>3135</v>
      </c>
      <c r="M3282" s="356"/>
      <c r="N3282" s="357"/>
      <c r="O3282" s="214" t="s">
        <v>2585</v>
      </c>
      <c r="P3282" s="360" t="s">
        <v>41</v>
      </c>
      <c r="Q3282" s="455">
        <v>7.8750000000000001E-3</v>
      </c>
      <c r="R3282" s="388"/>
    </row>
    <row r="3283" spans="6:18" ht="24" customHeight="1">
      <c r="F3283" s="401">
        <v>3.0225</v>
      </c>
      <c r="G3283" s="101" t="s">
        <v>438</v>
      </c>
      <c r="H3283" s="145" t="s">
        <v>1418</v>
      </c>
      <c r="I3283" s="41">
        <f>AG30</f>
        <v>1617</v>
      </c>
      <c r="J3283" s="86" t="s">
        <v>438</v>
      </c>
      <c r="K3283" s="41">
        <f t="shared" si="291"/>
        <v>4887.3824999999997</v>
      </c>
      <c r="M3283" s="356"/>
      <c r="N3283" s="357"/>
      <c r="O3283" s="356"/>
      <c r="P3283" s="356"/>
      <c r="Q3283" s="364" t="s">
        <v>48</v>
      </c>
    </row>
    <row r="3284" spans="6:18" ht="24" customHeight="1">
      <c r="F3284" s="41">
        <v>6</v>
      </c>
      <c r="G3284" s="101" t="s">
        <v>1420</v>
      </c>
      <c r="H3284" s="41" t="s">
        <v>2590</v>
      </c>
      <c r="I3284" s="459">
        <v>79</v>
      </c>
      <c r="J3284" s="86" t="s">
        <v>793</v>
      </c>
      <c r="K3284" s="41">
        <f t="shared" si="291"/>
        <v>474</v>
      </c>
      <c r="M3284" s="356"/>
      <c r="N3284" s="357"/>
      <c r="O3284" s="356"/>
      <c r="P3284" s="356"/>
      <c r="Q3284" s="447">
        <v>2.5590000000000002E-2</v>
      </c>
      <c r="R3284" s="28" t="s">
        <v>249</v>
      </c>
    </row>
    <row r="3285" spans="6:18" ht="24" customHeight="1">
      <c r="F3285" s="41">
        <v>1</v>
      </c>
      <c r="G3285" s="101" t="s">
        <v>1420</v>
      </c>
      <c r="H3285" s="41" t="s">
        <v>2592</v>
      </c>
      <c r="I3285" s="41">
        <v>260</v>
      </c>
      <c r="J3285" s="86" t="s">
        <v>793</v>
      </c>
      <c r="K3285" s="41">
        <f t="shared" si="291"/>
        <v>260</v>
      </c>
      <c r="M3285" s="356"/>
      <c r="N3285" s="357"/>
      <c r="O3285" s="356"/>
      <c r="P3285" s="356"/>
      <c r="Q3285" s="364" t="s">
        <v>48</v>
      </c>
    </row>
    <row r="3286" spans="6:18" ht="24" customHeight="1">
      <c r="F3286" s="41">
        <v>2</v>
      </c>
      <c r="G3286" s="101" t="s">
        <v>1420</v>
      </c>
      <c r="H3286" s="41" t="s">
        <v>2593</v>
      </c>
      <c r="I3286" s="41">
        <v>130</v>
      </c>
      <c r="J3286" s="86" t="s">
        <v>793</v>
      </c>
      <c r="K3286" s="41">
        <f t="shared" si="291"/>
        <v>260</v>
      </c>
      <c r="M3286" s="356"/>
      <c r="N3286" s="357"/>
      <c r="O3286" s="214" t="s">
        <v>2607</v>
      </c>
      <c r="P3286" s="356"/>
      <c r="Q3286" s="448">
        <v>0.58750000000000002</v>
      </c>
      <c r="R3286" s="388"/>
    </row>
    <row r="3287" spans="6:18" ht="24" customHeight="1">
      <c r="F3287" s="41">
        <v>2</v>
      </c>
      <c r="G3287" s="101" t="s">
        <v>1420</v>
      </c>
      <c r="H3287" s="41" t="s">
        <v>2594</v>
      </c>
      <c r="I3287" s="41">
        <v>165</v>
      </c>
      <c r="J3287" s="86" t="s">
        <v>793</v>
      </c>
      <c r="K3287" s="41">
        <f t="shared" si="291"/>
        <v>330</v>
      </c>
      <c r="M3287" s="356"/>
      <c r="N3287" s="357"/>
      <c r="O3287" s="214" t="s">
        <v>2608</v>
      </c>
      <c r="P3287" s="356"/>
      <c r="Q3287" s="449">
        <v>0.28129999999999999</v>
      </c>
      <c r="R3287" s="388"/>
    </row>
    <row r="3288" spans="6:18" ht="24" customHeight="1">
      <c r="F3288" s="41">
        <v>1</v>
      </c>
      <c r="G3288" s="101" t="s">
        <v>1420</v>
      </c>
      <c r="H3288" s="41" t="s">
        <v>2596</v>
      </c>
      <c r="I3288" s="41">
        <v>985</v>
      </c>
      <c r="J3288" s="86" t="s">
        <v>793</v>
      </c>
      <c r="K3288" s="41">
        <f t="shared" si="291"/>
        <v>985</v>
      </c>
      <c r="M3288" s="356"/>
      <c r="N3288" s="357"/>
      <c r="O3288" s="214"/>
      <c r="P3288" s="356"/>
      <c r="Q3288" s="364" t="s">
        <v>48</v>
      </c>
      <c r="R3288" s="388"/>
    </row>
    <row r="3289" spans="6:18" ht="24" customHeight="1">
      <c r="F3289" s="41">
        <v>2</v>
      </c>
      <c r="G3289" s="101" t="s">
        <v>1420</v>
      </c>
      <c r="H3289" s="41" t="s">
        <v>2597</v>
      </c>
      <c r="I3289" s="41">
        <v>450</v>
      </c>
      <c r="J3289" s="86" t="s">
        <v>793</v>
      </c>
      <c r="K3289" s="41">
        <f t="shared" si="291"/>
        <v>900</v>
      </c>
      <c r="M3289" s="356"/>
      <c r="N3289" s="357"/>
      <c r="O3289" s="214"/>
      <c r="P3289" s="356"/>
      <c r="Q3289" s="449">
        <v>0.86880000000000002</v>
      </c>
      <c r="R3289" s="362" t="s">
        <v>788</v>
      </c>
    </row>
    <row r="3290" spans="6:18" ht="24" customHeight="1">
      <c r="F3290" s="41">
        <v>0</v>
      </c>
      <c r="G3290" s="101" t="s">
        <v>969</v>
      </c>
      <c r="H3290" s="41" t="s">
        <v>2598</v>
      </c>
      <c r="I3290" s="41">
        <f>I961</f>
        <v>2.37</v>
      </c>
      <c r="J3290" s="86" t="s">
        <v>793</v>
      </c>
      <c r="K3290" s="402">
        <f t="shared" si="291"/>
        <v>0</v>
      </c>
      <c r="M3290" s="356"/>
      <c r="N3290" s="357"/>
      <c r="O3290" s="356"/>
      <c r="P3290" s="356"/>
      <c r="Q3290" s="364" t="s">
        <v>48</v>
      </c>
      <c r="R3290" s="364"/>
    </row>
    <row r="3291" spans="6:18" ht="24" customHeight="1">
      <c r="F3291" s="41"/>
      <c r="G3291" s="101"/>
      <c r="H3291" s="41" t="s">
        <v>2600</v>
      </c>
      <c r="I3291" s="41"/>
      <c r="J3291" s="86"/>
      <c r="K3291" s="41">
        <f>SUM(K3280:K3290)</f>
        <v>24310.2225</v>
      </c>
      <c r="M3291" s="388">
        <v>5.1999999999999998E-2</v>
      </c>
      <c r="N3291" s="363" t="s">
        <v>93</v>
      </c>
      <c r="O3291" s="214" t="s">
        <v>1327</v>
      </c>
      <c r="P3291" s="212">
        <f>P3188</f>
        <v>111600</v>
      </c>
      <c r="Q3291" s="215" t="s">
        <v>93</v>
      </c>
      <c r="R3291" s="212">
        <f>P3291*M3291</f>
        <v>5803.2</v>
      </c>
    </row>
    <row r="3292" spans="6:18" ht="24" customHeight="1">
      <c r="F3292" s="41"/>
      <c r="G3292" s="101"/>
      <c r="H3292" s="41"/>
      <c r="I3292" s="41"/>
      <c r="J3292" s="86"/>
      <c r="K3292" s="402" t="s">
        <v>1430</v>
      </c>
      <c r="M3292" s="388">
        <v>2.5590000000000002E-2</v>
      </c>
      <c r="N3292" s="363" t="s">
        <v>93</v>
      </c>
      <c r="O3292" s="214" t="s">
        <v>1329</v>
      </c>
      <c r="P3292" s="212">
        <f>P3189</f>
        <v>99400</v>
      </c>
      <c r="Q3292" s="215" t="s">
        <v>93</v>
      </c>
      <c r="R3292" s="212">
        <f t="shared" ref="R3292:R3300" si="292">P3292*M3292</f>
        <v>2543.6460000000002</v>
      </c>
    </row>
    <row r="3293" spans="6:18" ht="24" customHeight="1">
      <c r="F3293" s="41"/>
      <c r="G3293" s="101"/>
      <c r="H3293" s="41" t="s">
        <v>2601</v>
      </c>
      <c r="I3293" s="41"/>
      <c r="J3293" s="86"/>
      <c r="K3293" s="41">
        <f>K3291/F3283</f>
        <v>8043.0843672456576</v>
      </c>
      <c r="M3293" s="212">
        <v>0.87</v>
      </c>
      <c r="N3293" s="363" t="s">
        <v>438</v>
      </c>
      <c r="O3293" s="26" t="s">
        <v>456</v>
      </c>
      <c r="P3293" s="212">
        <f>C783</f>
        <v>387.4</v>
      </c>
      <c r="Q3293" s="215" t="s">
        <v>93</v>
      </c>
      <c r="R3293" s="212">
        <f t="shared" si="292"/>
        <v>337.03799999999995</v>
      </c>
    </row>
    <row r="3294" spans="6:18" ht="24" customHeight="1">
      <c r="F3294" s="41"/>
      <c r="G3294" s="101"/>
      <c r="H3294" s="41"/>
      <c r="I3294" s="41"/>
      <c r="J3294" s="86"/>
      <c r="K3294" s="402" t="s">
        <v>1430</v>
      </c>
      <c r="M3294" s="404">
        <v>2.4279999999999999</v>
      </c>
      <c r="N3294" s="363" t="s">
        <v>438</v>
      </c>
      <c r="O3294" s="214" t="s">
        <v>1324</v>
      </c>
      <c r="P3294" s="212">
        <f>D30</f>
        <v>1348.1999999999998</v>
      </c>
      <c r="Q3294" s="215" t="s">
        <v>438</v>
      </c>
      <c r="R3294" s="212">
        <f t="shared" si="292"/>
        <v>3273.4295999999995</v>
      </c>
    </row>
    <row r="3295" spans="6:18" ht="24" customHeight="1">
      <c r="G3295" s="28"/>
      <c r="J3295" s="28"/>
      <c r="M3295" s="212">
        <v>4</v>
      </c>
      <c r="N3295" s="363" t="s">
        <v>196</v>
      </c>
      <c r="O3295" s="214" t="s">
        <v>2554</v>
      </c>
      <c r="P3295" s="212">
        <f t="shared" ref="P3295:P3300" si="293">P3228</f>
        <v>50.9</v>
      </c>
      <c r="Q3295" s="215" t="s">
        <v>105</v>
      </c>
      <c r="R3295" s="212">
        <f t="shared" si="292"/>
        <v>203.6</v>
      </c>
    </row>
    <row r="3296" spans="6:18" ht="24" customHeight="1">
      <c r="G3296" s="28"/>
      <c r="J3296" s="28"/>
      <c r="M3296" s="212">
        <v>8</v>
      </c>
      <c r="N3296" s="363" t="s">
        <v>105</v>
      </c>
      <c r="O3296" s="214" t="s">
        <v>1326</v>
      </c>
      <c r="P3296" s="212">
        <f t="shared" si="293"/>
        <v>79.099999999999994</v>
      </c>
      <c r="Q3296" s="215" t="s">
        <v>105</v>
      </c>
      <c r="R3296" s="212">
        <f t="shared" si="292"/>
        <v>632.79999999999995</v>
      </c>
    </row>
    <row r="3297" spans="6:18" ht="24" customHeight="1">
      <c r="G3297" s="38" t="s">
        <v>1098</v>
      </c>
      <c r="H3297" s="27" t="s">
        <v>1265</v>
      </c>
      <c r="M3297" s="212">
        <v>4</v>
      </c>
      <c r="N3297" s="363" t="s">
        <v>105</v>
      </c>
      <c r="O3297" s="214" t="s">
        <v>2576</v>
      </c>
      <c r="P3297" s="212">
        <f t="shared" si="293"/>
        <v>86.3</v>
      </c>
      <c r="Q3297" s="215" t="s">
        <v>105</v>
      </c>
      <c r="R3297" s="212">
        <f t="shared" si="292"/>
        <v>345.2</v>
      </c>
    </row>
    <row r="3298" spans="6:18" ht="24" customHeight="1">
      <c r="H3298" s="27" t="s">
        <v>1278</v>
      </c>
      <c r="M3298" s="212">
        <v>1</v>
      </c>
      <c r="N3298" s="363" t="s">
        <v>105</v>
      </c>
      <c r="O3298" s="214" t="s">
        <v>2577</v>
      </c>
      <c r="P3298" s="212">
        <f t="shared" si="293"/>
        <v>185.2</v>
      </c>
      <c r="Q3298" s="215" t="s">
        <v>105</v>
      </c>
      <c r="R3298" s="212">
        <f t="shared" si="292"/>
        <v>185.2</v>
      </c>
    </row>
    <row r="3299" spans="6:18" ht="24" customHeight="1">
      <c r="F3299" s="106">
        <v>6.5000000000000002E-2</v>
      </c>
      <c r="G3299" s="38" t="s">
        <v>93</v>
      </c>
      <c r="H3299" s="26" t="s">
        <v>1268</v>
      </c>
      <c r="I3299" s="40">
        <f>I859</f>
        <v>9554.7423918000004</v>
      </c>
      <c r="J3299" s="26" t="s">
        <v>93</v>
      </c>
      <c r="K3299" s="40">
        <f>I3299*F3299</f>
        <v>621.05825546700009</v>
      </c>
      <c r="M3299" s="212">
        <v>2</v>
      </c>
      <c r="N3299" s="363" t="s">
        <v>105</v>
      </c>
      <c r="O3299" s="214" t="s">
        <v>2578</v>
      </c>
      <c r="P3299" s="212">
        <f t="shared" si="293"/>
        <v>22.7</v>
      </c>
      <c r="Q3299" s="215" t="s">
        <v>105</v>
      </c>
      <c r="R3299" s="212">
        <f t="shared" si="292"/>
        <v>45.4</v>
      </c>
    </row>
    <row r="3300" spans="6:18" ht="24" customHeight="1">
      <c r="F3300" s="152">
        <v>8.4499999999999993</v>
      </c>
      <c r="G3300" s="38" t="s">
        <v>392</v>
      </c>
      <c r="H3300" s="26" t="s">
        <v>1270</v>
      </c>
      <c r="I3300" s="40">
        <f t="shared" ref="I3300:I3310" si="294">I860</f>
        <v>78120.5</v>
      </c>
      <c r="J3300" s="26" t="s">
        <v>84</v>
      </c>
      <c r="K3300" s="40">
        <f>I3300*F3300/1000</f>
        <v>660.11822499999994</v>
      </c>
      <c r="M3300" s="212">
        <v>2</v>
      </c>
      <c r="N3300" s="363" t="s">
        <v>105</v>
      </c>
      <c r="O3300" s="214" t="s">
        <v>2579</v>
      </c>
      <c r="P3300" s="212">
        <f t="shared" si="293"/>
        <v>43.8</v>
      </c>
      <c r="Q3300" s="215" t="s">
        <v>105</v>
      </c>
      <c r="R3300" s="212">
        <f t="shared" si="292"/>
        <v>87.6</v>
      </c>
    </row>
    <row r="3301" spans="6:18" ht="24" customHeight="1">
      <c r="F3301" s="40">
        <v>3</v>
      </c>
      <c r="G3301" s="38" t="s">
        <v>105</v>
      </c>
      <c r="H3301" s="26" t="s">
        <v>1272</v>
      </c>
      <c r="I3301" s="40">
        <f t="shared" si="294"/>
        <v>14.8</v>
      </c>
      <c r="J3301" s="26" t="s">
        <v>105</v>
      </c>
      <c r="K3301" s="40">
        <f t="shared" ref="K3301:K3308" si="295">I3301*F3301</f>
        <v>44.400000000000006</v>
      </c>
      <c r="M3301" s="356"/>
      <c r="N3301" s="357"/>
      <c r="O3301" s="356" t="s">
        <v>2509</v>
      </c>
      <c r="P3301" s="356"/>
      <c r="Q3301" s="359"/>
      <c r="R3301" s="368">
        <f>R3199</f>
        <v>279.66000000000003</v>
      </c>
    </row>
    <row r="3302" spans="6:18" ht="24" customHeight="1">
      <c r="F3302" s="40">
        <v>12</v>
      </c>
      <c r="G3302" s="38" t="s">
        <v>105</v>
      </c>
      <c r="H3302" s="26" t="s">
        <v>1273</v>
      </c>
      <c r="I3302" s="40">
        <f t="shared" si="294"/>
        <v>2</v>
      </c>
      <c r="J3302" s="26" t="s">
        <v>105</v>
      </c>
      <c r="K3302" s="40">
        <f t="shared" si="295"/>
        <v>24</v>
      </c>
      <c r="M3302" s="356"/>
      <c r="N3302" s="357"/>
      <c r="O3302" s="356"/>
      <c r="P3302" s="356"/>
      <c r="Q3302" s="359"/>
      <c r="R3302" s="364" t="s">
        <v>48</v>
      </c>
    </row>
    <row r="3303" spans="6:18" ht="24" customHeight="1">
      <c r="F3303" s="40">
        <v>2</v>
      </c>
      <c r="G3303" s="38" t="s">
        <v>105</v>
      </c>
      <c r="H3303" s="26" t="s">
        <v>1274</v>
      </c>
      <c r="I3303" s="40">
        <f t="shared" si="294"/>
        <v>4.9000000000000004</v>
      </c>
      <c r="J3303" s="26" t="s">
        <v>105</v>
      </c>
      <c r="K3303" s="40">
        <f t="shared" si="295"/>
        <v>9.8000000000000007</v>
      </c>
      <c r="M3303" s="356"/>
      <c r="N3303" s="357"/>
      <c r="O3303" s="214" t="s">
        <v>2603</v>
      </c>
      <c r="P3303" s="356"/>
      <c r="Q3303" s="359"/>
      <c r="R3303" s="212">
        <f>SUM(R3291:R3301)</f>
        <v>13736.7736</v>
      </c>
    </row>
    <row r="3304" spans="6:18" ht="24" customHeight="1">
      <c r="F3304" s="40">
        <v>6</v>
      </c>
      <c r="G3304" s="38" t="s">
        <v>105</v>
      </c>
      <c r="H3304" s="26" t="s">
        <v>1276</v>
      </c>
      <c r="I3304" s="40">
        <f t="shared" si="294"/>
        <v>4.45</v>
      </c>
      <c r="J3304" s="26" t="s">
        <v>105</v>
      </c>
      <c r="K3304" s="40">
        <f t="shared" si="295"/>
        <v>26.700000000000003</v>
      </c>
      <c r="M3304" s="356"/>
      <c r="N3304" s="357"/>
      <c r="O3304" s="356"/>
      <c r="P3304" s="356"/>
      <c r="Q3304" s="359"/>
      <c r="R3304" s="364" t="s">
        <v>48</v>
      </c>
    </row>
    <row r="3305" spans="6:18" ht="24" customHeight="1">
      <c r="F3305" s="40">
        <v>1</v>
      </c>
      <c r="G3305" s="38" t="s">
        <v>105</v>
      </c>
      <c r="H3305" s="26" t="s">
        <v>1279</v>
      </c>
      <c r="I3305" s="40">
        <f t="shared" si="294"/>
        <v>1076.5999999999999</v>
      </c>
      <c r="J3305" s="26" t="s">
        <v>105</v>
      </c>
      <c r="K3305" s="40">
        <f t="shared" si="295"/>
        <v>1076.5999999999999</v>
      </c>
      <c r="M3305" s="356"/>
      <c r="N3305" s="357"/>
      <c r="O3305" s="370" t="s">
        <v>403</v>
      </c>
      <c r="P3305" s="356"/>
      <c r="Q3305" s="361" t="s">
        <v>2338</v>
      </c>
      <c r="R3305" s="371">
        <f>R3303/M3294</f>
        <v>5657.6497528830314</v>
      </c>
    </row>
    <row r="3306" spans="6:18" ht="24" customHeight="1">
      <c r="F3306" s="40">
        <v>1</v>
      </c>
      <c r="G3306" s="38" t="s">
        <v>105</v>
      </c>
      <c r="H3306" s="26" t="s">
        <v>1280</v>
      </c>
      <c r="I3306" s="40">
        <f t="shared" si="294"/>
        <v>702.8</v>
      </c>
      <c r="J3306" s="26" t="s">
        <v>105</v>
      </c>
      <c r="K3306" s="40">
        <f t="shared" si="295"/>
        <v>702.8</v>
      </c>
      <c r="M3306" s="215"/>
      <c r="N3306" s="363" t="s">
        <v>67</v>
      </c>
      <c r="O3306" s="214" t="s">
        <v>2609</v>
      </c>
      <c r="P3306" s="356"/>
      <c r="Q3306" s="359"/>
      <c r="R3306" s="356"/>
    </row>
    <row r="3307" spans="6:18" ht="24" customHeight="1">
      <c r="F3307" s="40">
        <v>1</v>
      </c>
      <c r="G3307" s="38" t="s">
        <v>105</v>
      </c>
      <c r="H3307" s="26" t="s">
        <v>1281</v>
      </c>
      <c r="I3307" s="40">
        <f t="shared" si="294"/>
        <v>25</v>
      </c>
      <c r="J3307" s="26" t="s">
        <v>105</v>
      </c>
      <c r="K3307" s="40">
        <f t="shared" si="295"/>
        <v>25</v>
      </c>
      <c r="M3307" s="356"/>
      <c r="N3307" s="357"/>
      <c r="O3307" s="214" t="s">
        <v>1311</v>
      </c>
      <c r="P3307" s="356"/>
      <c r="Q3307" s="359"/>
      <c r="R3307" s="356"/>
    </row>
    <row r="3308" spans="6:18" ht="24" customHeight="1">
      <c r="F3308" s="40">
        <v>0.5</v>
      </c>
      <c r="G3308" s="38" t="s">
        <v>105</v>
      </c>
      <c r="H3308" s="26" t="s">
        <v>1282</v>
      </c>
      <c r="I3308" s="40">
        <f t="shared" si="294"/>
        <v>576.79999999999995</v>
      </c>
      <c r="J3308" s="26" t="s">
        <v>105</v>
      </c>
      <c r="K3308" s="40">
        <f t="shared" si="295"/>
        <v>288.39999999999998</v>
      </c>
      <c r="M3308" s="356"/>
      <c r="N3308" s="357"/>
      <c r="O3308" s="442" t="s">
        <v>2539</v>
      </c>
      <c r="P3308" s="356"/>
      <c r="Q3308" s="359"/>
      <c r="R3308" s="356"/>
    </row>
    <row r="3309" spans="6:18" ht="24" customHeight="1">
      <c r="G3309" s="38" t="s">
        <v>106</v>
      </c>
      <c r="H3309" s="26" t="s">
        <v>1283</v>
      </c>
      <c r="I3309" s="40">
        <f t="shared" si="294"/>
        <v>0</v>
      </c>
      <c r="J3309" s="26" t="s">
        <v>106</v>
      </c>
      <c r="K3309" s="40">
        <v>2.1</v>
      </c>
      <c r="M3309" s="356"/>
      <c r="N3309" s="357"/>
      <c r="O3309" s="364" t="s">
        <v>48</v>
      </c>
      <c r="P3309" s="356"/>
      <c r="Q3309" s="359"/>
      <c r="R3309" s="356"/>
    </row>
    <row r="3310" spans="6:18" ht="24" customHeight="1">
      <c r="I3310" s="40">
        <f t="shared" si="294"/>
        <v>0</v>
      </c>
      <c r="K3310" s="35" t="s">
        <v>48</v>
      </c>
      <c r="M3310" s="356"/>
      <c r="N3310" s="357"/>
      <c r="O3310" s="214" t="s">
        <v>2541</v>
      </c>
      <c r="P3310" s="360" t="s">
        <v>41</v>
      </c>
      <c r="Q3310" s="443">
        <v>3.1219999999999999</v>
      </c>
      <c r="R3310" s="409" t="s">
        <v>788</v>
      </c>
    </row>
    <row r="3311" spans="6:18" ht="24" customHeight="1">
      <c r="H3311" s="42" t="s">
        <v>1284</v>
      </c>
      <c r="K3311" s="100">
        <f>SUM(K3299:K3310)</f>
        <v>3480.9764804670003</v>
      </c>
      <c r="M3311" s="356"/>
      <c r="N3311" s="357"/>
      <c r="O3311" s="214"/>
      <c r="P3311" s="360"/>
      <c r="Q3311" s="443"/>
      <c r="R3311" s="409"/>
    </row>
    <row r="3312" spans="6:18" ht="24" customHeight="1">
      <c r="K3312" s="35" t="s">
        <v>48</v>
      </c>
      <c r="M3312" s="356"/>
      <c r="N3312" s="357"/>
      <c r="O3312" s="214" t="s">
        <v>2542</v>
      </c>
      <c r="P3312" s="360" t="s">
        <v>41</v>
      </c>
      <c r="Q3312" s="444">
        <v>5.1999999999999998E-2</v>
      </c>
      <c r="R3312" s="409" t="s">
        <v>249</v>
      </c>
    </row>
    <row r="3313" spans="6:18" ht="24" customHeight="1">
      <c r="G3313" s="28"/>
      <c r="J3313" s="28"/>
      <c r="M3313" s="356"/>
      <c r="N3313" s="357"/>
      <c r="O3313" s="214" t="s">
        <v>2543</v>
      </c>
      <c r="Q3313" s="445"/>
      <c r="R3313" s="409"/>
    </row>
    <row r="3314" spans="6:18" ht="24" customHeight="1">
      <c r="G3314" s="28"/>
      <c r="J3314" s="28"/>
      <c r="M3314" s="356"/>
      <c r="N3314" s="357"/>
      <c r="O3314" s="214" t="s">
        <v>2544</v>
      </c>
      <c r="P3314" s="360" t="s">
        <v>41</v>
      </c>
      <c r="Q3314" s="446">
        <v>2.2780000000000002E-2</v>
      </c>
      <c r="R3314" s="409"/>
    </row>
    <row r="3315" spans="6:18" ht="24" customHeight="1">
      <c r="G3315" s="41" t="s">
        <v>2363</v>
      </c>
      <c r="J3315" s="28"/>
      <c r="M3315" s="356"/>
      <c r="N3315" s="357"/>
      <c r="O3315" s="214" t="s">
        <v>2546</v>
      </c>
      <c r="P3315" s="360" t="s">
        <v>41</v>
      </c>
      <c r="Q3315" s="455">
        <v>1.0125E-2</v>
      </c>
      <c r="R3315" s="410"/>
    </row>
    <row r="3316" spans="6:18" ht="24" customHeight="1">
      <c r="G3316" s="41" t="s">
        <v>2364</v>
      </c>
      <c r="J3316" s="28"/>
      <c r="M3316" s="356"/>
      <c r="N3316" s="357"/>
      <c r="O3316" s="356"/>
      <c r="P3316" s="356"/>
      <c r="Q3316" s="453" t="s">
        <v>2565</v>
      </c>
      <c r="R3316" s="31"/>
    </row>
    <row r="3317" spans="6:18" ht="24" customHeight="1">
      <c r="G3317" s="28"/>
      <c r="J3317" s="28"/>
      <c r="M3317" s="356"/>
      <c r="N3317" s="357"/>
      <c r="O3317" s="356"/>
      <c r="P3317" s="356"/>
      <c r="Q3317" s="447">
        <v>3.2910000000000002E-2</v>
      </c>
      <c r="R3317" s="31" t="s">
        <v>249</v>
      </c>
    </row>
    <row r="3318" spans="6:18" ht="24" customHeight="1">
      <c r="F3318" s="401">
        <v>2.6159999999999999E-2</v>
      </c>
      <c r="G3318" s="101" t="s">
        <v>93</v>
      </c>
      <c r="H3318" s="41" t="s">
        <v>1415</v>
      </c>
      <c r="I3318" s="41">
        <f>AE26</f>
        <v>111600</v>
      </c>
      <c r="J3318" s="86" t="s">
        <v>93</v>
      </c>
      <c r="K3318" s="41">
        <f>I3318*F3318</f>
        <v>2919.4560000000001</v>
      </c>
      <c r="M3318" s="356"/>
      <c r="N3318" s="357"/>
      <c r="O3318" s="356"/>
      <c r="P3318" s="356"/>
      <c r="Q3318" s="453" t="s">
        <v>2565</v>
      </c>
      <c r="R3318" s="31"/>
    </row>
    <row r="3319" spans="6:18" ht="24" customHeight="1">
      <c r="F3319" s="401">
        <v>4.7809999999999998E-2</v>
      </c>
      <c r="G3319" s="101" t="s">
        <v>93</v>
      </c>
      <c r="H3319" s="41" t="s">
        <v>1416</v>
      </c>
      <c r="I3319" s="41">
        <f>AE27</f>
        <v>99400</v>
      </c>
      <c r="J3319" s="86" t="s">
        <v>93</v>
      </c>
      <c r="K3319" s="41">
        <f t="shared" ref="K3319:K3327" si="296">I3319*F3319</f>
        <v>4752.3139999999994</v>
      </c>
      <c r="M3319" s="356"/>
      <c r="N3319" s="357"/>
      <c r="O3319" s="214" t="s">
        <v>2566</v>
      </c>
      <c r="P3319" s="356"/>
      <c r="Q3319" s="329">
        <v>0.94</v>
      </c>
      <c r="R3319" s="410" t="s">
        <v>788</v>
      </c>
    </row>
    <row r="3320" spans="6:18" ht="24" customHeight="1">
      <c r="F3320" s="401">
        <v>4.5879999999999997E-2</v>
      </c>
      <c r="G3320" s="101" t="s">
        <v>93</v>
      </c>
      <c r="H3320" s="460" t="s">
        <v>2610</v>
      </c>
      <c r="I3320" s="461">
        <v>107000</v>
      </c>
      <c r="J3320" s="86" t="s">
        <v>93</v>
      </c>
      <c r="K3320" s="41">
        <f t="shared" si="296"/>
        <v>4909.16</v>
      </c>
      <c r="M3320" s="356"/>
      <c r="N3320" s="357"/>
      <c r="O3320" s="214" t="s">
        <v>2611</v>
      </c>
      <c r="P3320" s="356"/>
      <c r="Q3320" s="450">
        <v>0.45</v>
      </c>
      <c r="R3320" s="410" t="s">
        <v>249</v>
      </c>
    </row>
    <row r="3321" spans="6:18" ht="24" customHeight="1">
      <c r="F3321" s="401">
        <v>3.95</v>
      </c>
      <c r="G3321" s="101" t="s">
        <v>438</v>
      </c>
      <c r="H3321" s="41" t="s">
        <v>1418</v>
      </c>
      <c r="I3321" s="41">
        <f>P3261</f>
        <v>1617</v>
      </c>
      <c r="J3321" s="86" t="s">
        <v>438</v>
      </c>
      <c r="K3321" s="41">
        <f t="shared" si="296"/>
        <v>6387.1500000000005</v>
      </c>
      <c r="M3321" s="356"/>
      <c r="N3321" s="357"/>
      <c r="O3321" s="214" t="s">
        <v>2568</v>
      </c>
      <c r="P3321" s="356"/>
      <c r="Q3321" s="450">
        <v>7.9</v>
      </c>
      <c r="R3321" s="410" t="s">
        <v>1125</v>
      </c>
    </row>
    <row r="3322" spans="6:18" ht="24" customHeight="1">
      <c r="F3322" s="41">
        <v>2</v>
      </c>
      <c r="G3322" s="101" t="s">
        <v>1420</v>
      </c>
      <c r="H3322" s="41" t="s">
        <v>1421</v>
      </c>
      <c r="I3322" s="41">
        <f t="shared" ref="I3322:I3327" si="297">P3262</f>
        <v>50.9</v>
      </c>
      <c r="J3322" s="86" t="s">
        <v>793</v>
      </c>
      <c r="K3322" s="41">
        <f t="shared" si="296"/>
        <v>101.8</v>
      </c>
      <c r="M3322" s="356"/>
      <c r="N3322" s="357"/>
      <c r="O3322" s="356"/>
      <c r="P3322" s="356"/>
      <c r="Q3322" s="364"/>
      <c r="R3322" s="364"/>
    </row>
    <row r="3323" spans="6:18" ht="24" customHeight="1">
      <c r="F3323" s="41">
        <v>6</v>
      </c>
      <c r="G3323" s="101" t="s">
        <v>1420</v>
      </c>
      <c r="H3323" s="41" t="s">
        <v>1422</v>
      </c>
      <c r="I3323" s="41">
        <f t="shared" si="297"/>
        <v>79.099999999999994</v>
      </c>
      <c r="J3323" s="86" t="s">
        <v>793</v>
      </c>
      <c r="K3323" s="41">
        <f t="shared" si="296"/>
        <v>474.59999999999997</v>
      </c>
      <c r="M3323" s="388">
        <v>5.1999999999999998E-2</v>
      </c>
      <c r="N3323" s="363" t="s">
        <v>93</v>
      </c>
      <c r="O3323" s="214" t="s">
        <v>1327</v>
      </c>
      <c r="P3323" s="212">
        <f>P3221</f>
        <v>111600</v>
      </c>
      <c r="Q3323" s="215" t="s">
        <v>93</v>
      </c>
      <c r="R3323" s="212">
        <f>P3323*M3323</f>
        <v>5803.2</v>
      </c>
    </row>
    <row r="3324" spans="6:18" ht="24" customHeight="1">
      <c r="F3324" s="41">
        <v>4</v>
      </c>
      <c r="G3324" s="101" t="s">
        <v>1420</v>
      </c>
      <c r="H3324" s="41" t="s">
        <v>1423</v>
      </c>
      <c r="I3324" s="41">
        <f t="shared" si="297"/>
        <v>86.3</v>
      </c>
      <c r="J3324" s="86" t="s">
        <v>793</v>
      </c>
      <c r="K3324" s="41">
        <f t="shared" si="296"/>
        <v>345.2</v>
      </c>
      <c r="M3324" s="388">
        <v>3.2910000000000002E-2</v>
      </c>
      <c r="N3324" s="363" t="s">
        <v>93</v>
      </c>
      <c r="O3324" s="214" t="s">
        <v>1329</v>
      </c>
      <c r="P3324" s="212">
        <f>P3222</f>
        <v>99400</v>
      </c>
      <c r="Q3324" s="215" t="s">
        <v>93</v>
      </c>
      <c r="R3324" s="212">
        <f t="shared" ref="R3324:R3335" si="298">P3324*M3324</f>
        <v>3271.2540000000004</v>
      </c>
    </row>
    <row r="3325" spans="6:18" ht="24" customHeight="1">
      <c r="F3325" s="41">
        <v>1</v>
      </c>
      <c r="G3325" s="101" t="s">
        <v>1420</v>
      </c>
      <c r="H3325" s="41" t="s">
        <v>1425</v>
      </c>
      <c r="I3325" s="41">
        <f t="shared" si="297"/>
        <v>185.2</v>
      </c>
      <c r="J3325" s="86" t="s">
        <v>793</v>
      </c>
      <c r="K3325" s="41">
        <f t="shared" si="296"/>
        <v>185.2</v>
      </c>
      <c r="M3325" s="388">
        <v>0.45</v>
      </c>
      <c r="N3325" s="363" t="s">
        <v>438</v>
      </c>
      <c r="O3325" s="26" t="s">
        <v>456</v>
      </c>
      <c r="P3325" s="212">
        <f>P3293</f>
        <v>387.4</v>
      </c>
      <c r="Q3325" s="215" t="s">
        <v>93</v>
      </c>
      <c r="R3325" s="212">
        <f t="shared" si="298"/>
        <v>174.32999999999998</v>
      </c>
    </row>
    <row r="3326" spans="6:18" ht="24" customHeight="1">
      <c r="F3326" s="41">
        <v>2</v>
      </c>
      <c r="G3326" s="101" t="s">
        <v>1420</v>
      </c>
      <c r="H3326" s="41" t="s">
        <v>2612</v>
      </c>
      <c r="I3326" s="41">
        <f t="shared" si="297"/>
        <v>22.7</v>
      </c>
      <c r="J3326" s="86" t="s">
        <v>793</v>
      </c>
      <c r="K3326" s="41">
        <f t="shared" si="296"/>
        <v>45.4</v>
      </c>
      <c r="M3326" s="404">
        <v>0.94</v>
      </c>
      <c r="N3326" s="363" t="s">
        <v>438</v>
      </c>
      <c r="O3326" s="214" t="s">
        <v>2613</v>
      </c>
      <c r="P3326" s="212">
        <f t="shared" ref="P3326:P3334" si="299">P3225</f>
        <v>355.5</v>
      </c>
      <c r="Q3326" s="359" t="s">
        <v>438</v>
      </c>
      <c r="R3326" s="212">
        <f t="shared" si="298"/>
        <v>334.16999999999996</v>
      </c>
    </row>
    <row r="3327" spans="6:18" ht="24" customHeight="1">
      <c r="F3327" s="41">
        <v>2</v>
      </c>
      <c r="G3327" s="101" t="s">
        <v>1420</v>
      </c>
      <c r="H3327" s="41" t="s">
        <v>463</v>
      </c>
      <c r="I3327" s="41">
        <f t="shared" si="297"/>
        <v>43.8</v>
      </c>
      <c r="J3327" s="86" t="s">
        <v>793</v>
      </c>
      <c r="K3327" s="41">
        <f t="shared" si="296"/>
        <v>87.6</v>
      </c>
      <c r="M3327" s="404">
        <v>7.9</v>
      </c>
      <c r="N3327" s="363" t="s">
        <v>244</v>
      </c>
      <c r="O3327" s="214" t="s">
        <v>2614</v>
      </c>
      <c r="P3327" s="212">
        <f t="shared" si="299"/>
        <v>15.15</v>
      </c>
      <c r="Q3327" s="359"/>
      <c r="R3327" s="212">
        <f t="shared" si="298"/>
        <v>119.685</v>
      </c>
    </row>
    <row r="3328" spans="6:18" ht="24" customHeight="1">
      <c r="F3328" s="41">
        <v>10</v>
      </c>
      <c r="G3328" s="101"/>
      <c r="H3328" s="460" t="s">
        <v>2615</v>
      </c>
      <c r="I3328" s="41">
        <f>I3290</f>
        <v>2.37</v>
      </c>
      <c r="J3328" s="86"/>
      <c r="K3328" s="41">
        <v>24.3</v>
      </c>
      <c r="M3328" s="404">
        <v>3.1219999999999999</v>
      </c>
      <c r="N3328" s="363" t="s">
        <v>438</v>
      </c>
      <c r="O3328" s="214" t="s">
        <v>1324</v>
      </c>
      <c r="P3328" s="212">
        <f t="shared" si="299"/>
        <v>1078</v>
      </c>
      <c r="Q3328" s="215" t="s">
        <v>438</v>
      </c>
      <c r="R3328" s="212">
        <f t="shared" si="298"/>
        <v>3365.5160000000001</v>
      </c>
    </row>
    <row r="3329" spans="6:18" ht="24" customHeight="1">
      <c r="F3329" s="41"/>
      <c r="G3329" s="101"/>
      <c r="H3329" s="41" t="s">
        <v>403</v>
      </c>
      <c r="I3329" s="41"/>
      <c r="J3329" s="86"/>
      <c r="K3329" s="41">
        <f>SUM(K3318:K3328)</f>
        <v>20232.18</v>
      </c>
      <c r="M3329" s="212">
        <v>4</v>
      </c>
      <c r="N3329" s="363" t="s">
        <v>196</v>
      </c>
      <c r="O3329" s="214" t="s">
        <v>2554</v>
      </c>
      <c r="P3329" s="212">
        <f t="shared" si="299"/>
        <v>50.9</v>
      </c>
      <c r="Q3329" s="215" t="s">
        <v>105</v>
      </c>
      <c r="R3329" s="212">
        <f t="shared" si="298"/>
        <v>203.6</v>
      </c>
    </row>
    <row r="3330" spans="6:18" ht="24" customHeight="1">
      <c r="F3330" s="41"/>
      <c r="G3330" s="101"/>
      <c r="H3330" s="41"/>
      <c r="I3330" s="41"/>
      <c r="J3330" s="86"/>
      <c r="K3330" s="402" t="s">
        <v>1430</v>
      </c>
      <c r="M3330" s="212">
        <v>8</v>
      </c>
      <c r="N3330" s="363" t="s">
        <v>105</v>
      </c>
      <c r="O3330" s="214" t="s">
        <v>1326</v>
      </c>
      <c r="P3330" s="212">
        <f t="shared" si="299"/>
        <v>79.099999999999994</v>
      </c>
      <c r="Q3330" s="215" t="s">
        <v>105</v>
      </c>
      <c r="R3330" s="212">
        <f t="shared" si="298"/>
        <v>632.79999999999995</v>
      </c>
    </row>
    <row r="3331" spans="6:18" ht="24" customHeight="1">
      <c r="F3331" s="41"/>
      <c r="G3331" s="101"/>
      <c r="H3331" s="41" t="s">
        <v>403</v>
      </c>
      <c r="I3331" s="41"/>
      <c r="J3331" s="86"/>
      <c r="K3331" s="41">
        <f>K3329/F3321</f>
        <v>5122.0708860759496</v>
      </c>
      <c r="M3331" s="212">
        <v>4</v>
      </c>
      <c r="N3331" s="363" t="s">
        <v>105</v>
      </c>
      <c r="O3331" s="214" t="s">
        <v>2576</v>
      </c>
      <c r="P3331" s="212">
        <f t="shared" si="299"/>
        <v>86.3</v>
      </c>
      <c r="Q3331" s="215" t="s">
        <v>105</v>
      </c>
      <c r="R3331" s="212">
        <f t="shared" si="298"/>
        <v>345.2</v>
      </c>
    </row>
    <row r="3332" spans="6:18" ht="24" customHeight="1">
      <c r="F3332" s="41"/>
      <c r="G3332" s="101"/>
      <c r="H3332" s="41"/>
      <c r="I3332" s="41"/>
      <c r="J3332" s="86"/>
      <c r="K3332" s="402" t="s">
        <v>1430</v>
      </c>
      <c r="M3332" s="212">
        <v>1</v>
      </c>
      <c r="N3332" s="363" t="s">
        <v>105</v>
      </c>
      <c r="O3332" s="214" t="s">
        <v>2577</v>
      </c>
      <c r="P3332" s="212">
        <f t="shared" si="299"/>
        <v>185.2</v>
      </c>
      <c r="Q3332" s="215" t="s">
        <v>105</v>
      </c>
      <c r="R3332" s="212">
        <f t="shared" si="298"/>
        <v>185.2</v>
      </c>
    </row>
    <row r="3333" spans="6:18" ht="24" customHeight="1">
      <c r="G3333" s="28"/>
      <c r="J3333" s="28"/>
      <c r="M3333" s="212">
        <v>2</v>
      </c>
      <c r="N3333" s="363" t="s">
        <v>105</v>
      </c>
      <c r="O3333" s="214" t="s">
        <v>2578</v>
      </c>
      <c r="P3333" s="212">
        <f t="shared" si="299"/>
        <v>22.7</v>
      </c>
      <c r="Q3333" s="215" t="s">
        <v>105</v>
      </c>
      <c r="R3333" s="212">
        <f t="shared" si="298"/>
        <v>45.4</v>
      </c>
    </row>
    <row r="3334" spans="6:18" ht="24" customHeight="1">
      <c r="G3334" s="28"/>
      <c r="J3334" s="28"/>
      <c r="M3334" s="212">
        <v>2</v>
      </c>
      <c r="N3334" s="363" t="s">
        <v>105</v>
      </c>
      <c r="O3334" s="214" t="s">
        <v>2579</v>
      </c>
      <c r="P3334" s="212">
        <f t="shared" si="299"/>
        <v>43.8</v>
      </c>
      <c r="Q3334" s="215" t="s">
        <v>105</v>
      </c>
      <c r="R3334" s="212">
        <f t="shared" si="298"/>
        <v>87.6</v>
      </c>
    </row>
    <row r="3335" spans="6:18" ht="24" customHeight="1">
      <c r="G3335" s="28"/>
      <c r="J3335" s="28"/>
      <c r="M3335" s="356">
        <v>118</v>
      </c>
      <c r="N3335" s="363" t="s">
        <v>105</v>
      </c>
      <c r="O3335" s="356" t="s">
        <v>2509</v>
      </c>
      <c r="P3335" s="356">
        <f>P3268</f>
        <v>2.37</v>
      </c>
      <c r="Q3335" s="215" t="s">
        <v>105</v>
      </c>
      <c r="R3335" s="212">
        <f t="shared" si="298"/>
        <v>279.66000000000003</v>
      </c>
    </row>
    <row r="3336" spans="6:18" ht="24" customHeight="1">
      <c r="F3336" s="27"/>
      <c r="G3336" s="38" t="s">
        <v>67</v>
      </c>
      <c r="H3336" s="26" t="s">
        <v>2616</v>
      </c>
      <c r="J3336" s="33"/>
      <c r="M3336" s="356"/>
      <c r="N3336" s="357"/>
      <c r="O3336" s="356"/>
      <c r="P3336" s="356"/>
      <c r="Q3336" s="359"/>
      <c r="R3336" s="364" t="s">
        <v>48</v>
      </c>
    </row>
    <row r="3337" spans="6:18" ht="24" customHeight="1">
      <c r="H3337" s="26" t="s">
        <v>1536</v>
      </c>
      <c r="J3337" s="33"/>
      <c r="M3337" s="356"/>
      <c r="N3337" s="357"/>
      <c r="O3337" s="214" t="s">
        <v>2561</v>
      </c>
      <c r="P3337" s="356"/>
      <c r="Q3337" s="359"/>
      <c r="R3337" s="212">
        <f>SUM(R3323:R3335)</f>
        <v>14847.615</v>
      </c>
    </row>
    <row r="3338" spans="6:18" ht="24" customHeight="1">
      <c r="H3338" s="30" t="s">
        <v>2617</v>
      </c>
      <c r="J3338" s="33"/>
      <c r="M3338" s="356"/>
      <c r="N3338" s="357"/>
      <c r="O3338" s="356"/>
      <c r="P3338" s="356"/>
      <c r="Q3338" s="359"/>
      <c r="R3338" s="364" t="s">
        <v>48</v>
      </c>
    </row>
    <row r="3339" spans="6:18" ht="24" customHeight="1">
      <c r="H3339" s="35" t="s">
        <v>48</v>
      </c>
      <c r="J3339" s="33"/>
      <c r="M3339" s="356"/>
      <c r="N3339" s="357"/>
      <c r="O3339" s="370" t="s">
        <v>403</v>
      </c>
      <c r="P3339" s="356"/>
      <c r="Q3339" s="361" t="s">
        <v>2338</v>
      </c>
      <c r="R3339" s="371">
        <f>R3337/M3328</f>
        <v>4755.8023702754645</v>
      </c>
    </row>
    <row r="3340" spans="6:18" ht="24" customHeight="1">
      <c r="F3340" s="40">
        <v>1.34</v>
      </c>
      <c r="G3340" s="38" t="s">
        <v>392</v>
      </c>
      <c r="H3340" s="319" t="s">
        <v>2618</v>
      </c>
      <c r="I3340" s="49">
        <v>72.400000000000006</v>
      </c>
      <c r="J3340" s="26" t="s">
        <v>392</v>
      </c>
      <c r="K3340" s="40">
        <f>(F3340*I3340)</f>
        <v>97.01600000000002</v>
      </c>
    </row>
    <row r="3341" spans="6:18" ht="24" customHeight="1">
      <c r="F3341" s="40">
        <v>0.5</v>
      </c>
      <c r="G3341" s="38" t="s">
        <v>196</v>
      </c>
      <c r="H3341" s="26" t="s">
        <v>1545</v>
      </c>
      <c r="I3341" s="40">
        <f>AG13</f>
        <v>861</v>
      </c>
      <c r="J3341" s="38" t="s">
        <v>196</v>
      </c>
      <c r="K3341" s="40">
        <f>(F3341*I3341)</f>
        <v>430.5</v>
      </c>
    </row>
    <row r="3342" spans="6:18" ht="24" customHeight="1">
      <c r="F3342" s="40">
        <v>0.5</v>
      </c>
      <c r="G3342" s="38" t="s">
        <v>196</v>
      </c>
      <c r="H3342" s="26" t="s">
        <v>271</v>
      </c>
      <c r="I3342" s="40">
        <f>AG11</f>
        <v>702.8</v>
      </c>
      <c r="J3342" s="38" t="s">
        <v>196</v>
      </c>
      <c r="K3342" s="40">
        <f>(F3342*I3342)</f>
        <v>351.4</v>
      </c>
      <c r="M3342" s="215"/>
      <c r="N3342" s="363" t="s">
        <v>67</v>
      </c>
      <c r="O3342" s="214" t="s">
        <v>2619</v>
      </c>
      <c r="P3342" s="356"/>
      <c r="Q3342" s="359"/>
      <c r="R3342" s="356"/>
    </row>
    <row r="3343" spans="6:18" ht="24" customHeight="1">
      <c r="F3343" s="40">
        <v>0.8</v>
      </c>
      <c r="G3343" s="38" t="s">
        <v>196</v>
      </c>
      <c r="H3343" s="26" t="s">
        <v>276</v>
      </c>
      <c r="I3343" s="40">
        <f>AG12</f>
        <v>576.79999999999995</v>
      </c>
      <c r="J3343" s="38" t="s">
        <v>196</v>
      </c>
      <c r="K3343" s="40">
        <f>(F3343*I3343)</f>
        <v>461.44</v>
      </c>
      <c r="M3343" s="356"/>
      <c r="N3343" s="357"/>
      <c r="O3343" s="214" t="s">
        <v>1311</v>
      </c>
      <c r="P3343" s="356"/>
      <c r="Q3343" s="359"/>
      <c r="R3343" s="356"/>
    </row>
    <row r="3344" spans="6:18" ht="24" customHeight="1">
      <c r="G3344" s="38" t="s">
        <v>106</v>
      </c>
      <c r="H3344" s="26" t="s">
        <v>1452</v>
      </c>
      <c r="I3344" s="26" t="s">
        <v>27</v>
      </c>
      <c r="J3344" s="27" t="s">
        <v>106</v>
      </c>
      <c r="K3344" s="40">
        <v>2.6</v>
      </c>
      <c r="M3344" s="356"/>
      <c r="N3344" s="357"/>
      <c r="O3344" s="442" t="s">
        <v>2620</v>
      </c>
      <c r="P3344" s="356"/>
      <c r="Q3344" s="359"/>
      <c r="R3344" s="356"/>
    </row>
    <row r="3345" spans="6:18" ht="24" customHeight="1">
      <c r="J3345" s="33"/>
      <c r="K3345" s="35" t="s">
        <v>48</v>
      </c>
      <c r="M3345" s="356"/>
      <c r="N3345" s="357"/>
      <c r="O3345" s="364" t="s">
        <v>48</v>
      </c>
      <c r="P3345" s="356"/>
      <c r="Q3345" s="359"/>
      <c r="R3345" s="356"/>
    </row>
    <row r="3346" spans="6:18" ht="24" customHeight="1">
      <c r="H3346" s="26" t="s">
        <v>401</v>
      </c>
      <c r="J3346" s="33"/>
      <c r="K3346" s="40">
        <f>SUM(K3340:K3345)</f>
        <v>1342.9559999999999</v>
      </c>
      <c r="M3346" s="356"/>
      <c r="N3346" s="357"/>
      <c r="O3346" s="214" t="s">
        <v>2621</v>
      </c>
      <c r="P3346" s="360" t="s">
        <v>41</v>
      </c>
      <c r="Q3346" s="443">
        <v>1.734</v>
      </c>
      <c r="R3346" s="356" t="s">
        <v>788</v>
      </c>
    </row>
    <row r="3347" spans="6:18" ht="24" customHeight="1">
      <c r="J3347" s="33"/>
      <c r="K3347" s="35" t="s">
        <v>48</v>
      </c>
      <c r="M3347" s="356"/>
      <c r="N3347" s="357"/>
      <c r="O3347" s="214"/>
      <c r="P3347" s="360"/>
      <c r="Q3347" s="443"/>
      <c r="R3347" s="356"/>
    </row>
    <row r="3348" spans="6:18" ht="24" customHeight="1">
      <c r="H3348" s="30" t="s">
        <v>403</v>
      </c>
      <c r="J3348" s="33"/>
      <c r="K3348" s="39">
        <f>(K3346/10)</f>
        <v>134.29559999999998</v>
      </c>
      <c r="M3348" s="356"/>
      <c r="N3348" s="357"/>
      <c r="O3348" s="214" t="s">
        <v>2622</v>
      </c>
      <c r="P3348" s="360" t="s">
        <v>41</v>
      </c>
      <c r="Q3348" s="444">
        <v>3.9E-2</v>
      </c>
      <c r="R3348" s="356" t="s">
        <v>249</v>
      </c>
    </row>
    <row r="3349" spans="6:18" ht="24" customHeight="1">
      <c r="F3349" s="26" t="s">
        <v>27</v>
      </c>
      <c r="J3349" s="33"/>
      <c r="M3349" s="356"/>
      <c r="N3349" s="357"/>
      <c r="O3349" s="214" t="s">
        <v>2543</v>
      </c>
      <c r="Q3349" s="445"/>
      <c r="R3349" s="356"/>
    </row>
    <row r="3350" spans="6:18" ht="24" customHeight="1">
      <c r="G3350" s="28"/>
      <c r="J3350" s="28"/>
      <c r="M3350" s="356"/>
      <c r="N3350" s="357"/>
      <c r="O3350" s="214" t="s">
        <v>2623</v>
      </c>
      <c r="P3350" s="360" t="s">
        <v>41</v>
      </c>
      <c r="Q3350" s="446">
        <v>1.2659999999999999E-2</v>
      </c>
      <c r="R3350" s="356"/>
    </row>
    <row r="3351" spans="6:18" ht="24" customHeight="1">
      <c r="H3351" s="41" t="s">
        <v>2624</v>
      </c>
      <c r="J3351" s="28"/>
      <c r="M3351" s="356"/>
      <c r="N3351" s="357"/>
      <c r="O3351" s="214" t="s">
        <v>2625</v>
      </c>
      <c r="P3351" s="360" t="s">
        <v>41</v>
      </c>
      <c r="Q3351" s="455">
        <v>5.6249999999999998E-3</v>
      </c>
      <c r="R3351" s="388"/>
    </row>
    <row r="3352" spans="6:18" ht="24" customHeight="1">
      <c r="J3352" s="28"/>
      <c r="M3352" s="356"/>
      <c r="N3352" s="357"/>
      <c r="O3352" s="356"/>
      <c r="P3352" s="356"/>
      <c r="Q3352" s="364" t="s">
        <v>48</v>
      </c>
    </row>
    <row r="3353" spans="6:18" ht="24" customHeight="1">
      <c r="F3353" s="28">
        <v>1.4</v>
      </c>
      <c r="G3353" s="38" t="s">
        <v>1543</v>
      </c>
      <c r="H3353" s="28" t="s">
        <v>1558</v>
      </c>
      <c r="I3353" s="117">
        <f>I3366</f>
        <v>289.8</v>
      </c>
      <c r="J3353" s="38" t="s">
        <v>1543</v>
      </c>
      <c r="K3353" s="28">
        <f>I3353*F3353</f>
        <v>405.71999999999997</v>
      </c>
      <c r="M3353" s="356"/>
      <c r="N3353" s="357"/>
      <c r="O3353" s="356"/>
      <c r="P3353" s="356"/>
      <c r="Q3353" s="447">
        <v>1.8290000000000001E-2</v>
      </c>
      <c r="R3353" s="28" t="s">
        <v>249</v>
      </c>
    </row>
    <row r="3354" spans="6:18" ht="24" customHeight="1">
      <c r="F3354" s="28">
        <v>1.5</v>
      </c>
      <c r="G3354" s="38" t="s">
        <v>196</v>
      </c>
      <c r="H3354" s="28" t="s">
        <v>2626</v>
      </c>
      <c r="I3354" s="117">
        <f>I3367</f>
        <v>861</v>
      </c>
      <c r="J3354" s="38" t="s">
        <v>196</v>
      </c>
      <c r="K3354" s="28">
        <f>I3354*F3354</f>
        <v>1291.5</v>
      </c>
      <c r="M3354" s="356"/>
      <c r="N3354" s="357"/>
      <c r="O3354" s="356"/>
      <c r="P3354" s="356"/>
      <c r="Q3354" s="364" t="s">
        <v>48</v>
      </c>
    </row>
    <row r="3355" spans="6:18" ht="24" customHeight="1">
      <c r="F3355" s="28">
        <v>10</v>
      </c>
      <c r="G3355" s="29" t="s">
        <v>788</v>
      </c>
      <c r="H3355" s="26" t="s">
        <v>2538</v>
      </c>
      <c r="I3355" s="117">
        <f>I3368</f>
        <v>3.2</v>
      </c>
      <c r="J3355" s="29" t="s">
        <v>788</v>
      </c>
      <c r="K3355" s="28">
        <f>I3355*F3355</f>
        <v>32</v>
      </c>
      <c r="M3355" s="356"/>
      <c r="N3355" s="357"/>
      <c r="O3355" s="214" t="s">
        <v>2627</v>
      </c>
      <c r="P3355" s="356"/>
      <c r="Q3355" s="448">
        <v>0.4113</v>
      </c>
      <c r="R3355" s="388"/>
    </row>
    <row r="3356" spans="6:18" ht="24" customHeight="1">
      <c r="H3356" s="26" t="s">
        <v>2540</v>
      </c>
      <c r="I3356" s="117" t="s">
        <v>2550</v>
      </c>
      <c r="J3356" s="33"/>
      <c r="K3356" s="28">
        <v>1.6</v>
      </c>
      <c r="M3356" s="356"/>
      <c r="N3356" s="357"/>
      <c r="O3356" s="214" t="s">
        <v>2628</v>
      </c>
      <c r="P3356" s="356"/>
      <c r="Q3356" s="449">
        <v>0.19689999999999999</v>
      </c>
      <c r="R3356" s="388"/>
    </row>
    <row r="3357" spans="6:18" ht="24" customHeight="1">
      <c r="H3357" s="26" t="s">
        <v>401</v>
      </c>
      <c r="J3357" s="33"/>
      <c r="K3357" s="28">
        <f>SUM(K3353:K3356)</f>
        <v>1730.82</v>
      </c>
      <c r="M3357" s="356"/>
      <c r="N3357" s="357"/>
      <c r="O3357" s="214"/>
      <c r="P3357" s="356"/>
      <c r="Q3357" s="364" t="s">
        <v>48</v>
      </c>
      <c r="R3357" s="388"/>
    </row>
    <row r="3358" spans="6:18" ht="24" customHeight="1">
      <c r="H3358" s="30" t="s">
        <v>403</v>
      </c>
      <c r="J3358" s="33"/>
      <c r="K3358" s="28">
        <f>K3357/10</f>
        <v>173.08199999999999</v>
      </c>
      <c r="M3358" s="356"/>
      <c r="N3358" s="357"/>
      <c r="O3358" s="214"/>
      <c r="P3358" s="356"/>
      <c r="Q3358" s="450">
        <v>0.60819999999999996</v>
      </c>
      <c r="R3358" s="362"/>
    </row>
    <row r="3359" spans="6:18" ht="24" customHeight="1">
      <c r="J3359" s="33"/>
      <c r="M3359" s="356"/>
      <c r="N3359" s="357"/>
      <c r="O3359" s="356"/>
      <c r="P3359" s="356"/>
      <c r="Q3359" s="364" t="s">
        <v>48</v>
      </c>
      <c r="R3359" s="364"/>
    </row>
    <row r="3360" spans="6:18" ht="24" customHeight="1">
      <c r="J3360" s="33"/>
      <c r="M3360" s="388">
        <v>3.9E-2</v>
      </c>
      <c r="N3360" s="363" t="s">
        <v>93</v>
      </c>
      <c r="O3360" s="214" t="s">
        <v>1327</v>
      </c>
      <c r="P3360" s="212">
        <f>P3291</f>
        <v>111600</v>
      </c>
      <c r="Q3360" s="215" t="s">
        <v>93</v>
      </c>
      <c r="R3360" s="212">
        <f>P3360*M3360</f>
        <v>4352.3999999999996</v>
      </c>
    </row>
    <row r="3361" spans="6:18" ht="24" customHeight="1">
      <c r="G3361" s="28"/>
      <c r="J3361" s="28"/>
      <c r="M3361" s="388">
        <v>1.8290000000000001E-2</v>
      </c>
      <c r="N3361" s="363" t="s">
        <v>93</v>
      </c>
      <c r="O3361" s="214" t="s">
        <v>1329</v>
      </c>
      <c r="P3361" s="212">
        <f>P3292</f>
        <v>99400</v>
      </c>
      <c r="Q3361" s="215" t="s">
        <v>93</v>
      </c>
      <c r="R3361" s="212">
        <f t="shared" ref="R3361:R3370" si="300">P3361*M3361</f>
        <v>1818.0260000000001</v>
      </c>
    </row>
    <row r="3362" spans="6:18" ht="24" customHeight="1">
      <c r="G3362" s="28"/>
      <c r="J3362" s="28"/>
      <c r="M3362" s="388">
        <v>0.60819999999999996</v>
      </c>
      <c r="N3362" s="363" t="s">
        <v>438</v>
      </c>
      <c r="O3362" s="26" t="s">
        <v>456</v>
      </c>
      <c r="P3362" s="212">
        <f>P3325</f>
        <v>387.4</v>
      </c>
      <c r="Q3362" s="215" t="s">
        <v>93</v>
      </c>
      <c r="R3362" s="212">
        <f t="shared" si="300"/>
        <v>235.61667999999997</v>
      </c>
    </row>
    <row r="3363" spans="6:18" ht="24" customHeight="1">
      <c r="G3363" s="28"/>
      <c r="J3363" s="28"/>
      <c r="M3363" s="404">
        <v>1.734</v>
      </c>
      <c r="N3363" s="363" t="s">
        <v>438</v>
      </c>
      <c r="O3363" s="214" t="s">
        <v>1324</v>
      </c>
      <c r="P3363" s="212">
        <f>P3328</f>
        <v>1078</v>
      </c>
      <c r="Q3363" s="215" t="s">
        <v>438</v>
      </c>
      <c r="R3363" s="212">
        <f t="shared" si="300"/>
        <v>1869.252</v>
      </c>
    </row>
    <row r="3364" spans="6:18" ht="24" customHeight="1">
      <c r="H3364" s="41" t="s">
        <v>2629</v>
      </c>
      <c r="J3364" s="28"/>
      <c r="M3364" s="212">
        <v>2</v>
      </c>
      <c r="N3364" s="363" t="s">
        <v>196</v>
      </c>
      <c r="O3364" s="214" t="s">
        <v>2554</v>
      </c>
      <c r="P3364" s="212">
        <f t="shared" ref="P3364:P3369" si="301">P3295</f>
        <v>50.9</v>
      </c>
      <c r="Q3364" s="215" t="s">
        <v>105</v>
      </c>
      <c r="R3364" s="212">
        <f t="shared" si="300"/>
        <v>101.8</v>
      </c>
    </row>
    <row r="3365" spans="6:18" ht="24" customHeight="1">
      <c r="J3365" s="28"/>
      <c r="M3365" s="212">
        <v>4</v>
      </c>
      <c r="N3365" s="363" t="s">
        <v>105</v>
      </c>
      <c r="O3365" s="214" t="s">
        <v>1326</v>
      </c>
      <c r="P3365" s="212">
        <f t="shared" si="301"/>
        <v>79.099999999999994</v>
      </c>
      <c r="Q3365" s="215" t="s">
        <v>105</v>
      </c>
      <c r="R3365" s="212">
        <f t="shared" si="300"/>
        <v>316.39999999999998</v>
      </c>
    </row>
    <row r="3366" spans="6:18" ht="24" customHeight="1">
      <c r="F3366" s="28">
        <v>0.8</v>
      </c>
      <c r="G3366" s="38" t="s">
        <v>1543</v>
      </c>
      <c r="H3366" s="28" t="s">
        <v>1558</v>
      </c>
      <c r="I3366" s="117">
        <f>P1319</f>
        <v>289.8</v>
      </c>
      <c r="J3366" s="38" t="s">
        <v>1543</v>
      </c>
      <c r="K3366" s="28">
        <f>I3366*F3366</f>
        <v>231.84000000000003</v>
      </c>
      <c r="M3366" s="212">
        <v>2</v>
      </c>
      <c r="N3366" s="363" t="s">
        <v>105</v>
      </c>
      <c r="O3366" s="214" t="s">
        <v>2576</v>
      </c>
      <c r="P3366" s="212">
        <f t="shared" si="301"/>
        <v>86.3</v>
      </c>
      <c r="Q3366" s="215" t="s">
        <v>105</v>
      </c>
      <c r="R3366" s="212">
        <f t="shared" si="300"/>
        <v>172.6</v>
      </c>
    </row>
    <row r="3367" spans="6:18" ht="24" customHeight="1">
      <c r="F3367" s="28">
        <v>0.7</v>
      </c>
      <c r="G3367" s="38" t="s">
        <v>196</v>
      </c>
      <c r="H3367" s="28" t="s">
        <v>2626</v>
      </c>
      <c r="I3367" s="28">
        <f>I3341</f>
        <v>861</v>
      </c>
      <c r="J3367" s="38" t="s">
        <v>196</v>
      </c>
      <c r="K3367" s="28">
        <f>I3367*F3367</f>
        <v>602.69999999999993</v>
      </c>
      <c r="M3367" s="212">
        <v>1</v>
      </c>
      <c r="N3367" s="363" t="s">
        <v>105</v>
      </c>
      <c r="O3367" s="214" t="s">
        <v>2577</v>
      </c>
      <c r="P3367" s="212">
        <f t="shared" si="301"/>
        <v>185.2</v>
      </c>
      <c r="Q3367" s="215" t="s">
        <v>105</v>
      </c>
      <c r="R3367" s="212">
        <f t="shared" si="300"/>
        <v>185.2</v>
      </c>
    </row>
    <row r="3368" spans="6:18" ht="24" customHeight="1">
      <c r="F3368" s="28">
        <v>10</v>
      </c>
      <c r="G3368" s="29" t="s">
        <v>788</v>
      </c>
      <c r="H3368" s="26" t="s">
        <v>2538</v>
      </c>
      <c r="I3368" s="28">
        <f>I3185</f>
        <v>3.2</v>
      </c>
      <c r="J3368" s="29" t="s">
        <v>788</v>
      </c>
      <c r="K3368" s="28">
        <f>I3368*F3368</f>
        <v>32</v>
      </c>
      <c r="M3368" s="212">
        <v>1</v>
      </c>
      <c r="N3368" s="363" t="s">
        <v>105</v>
      </c>
      <c r="O3368" s="214" t="s">
        <v>2578</v>
      </c>
      <c r="P3368" s="212">
        <f t="shared" si="301"/>
        <v>22.7</v>
      </c>
      <c r="Q3368" s="215" t="s">
        <v>105</v>
      </c>
      <c r="R3368" s="212">
        <f t="shared" si="300"/>
        <v>22.7</v>
      </c>
    </row>
    <row r="3369" spans="6:18" ht="24" customHeight="1">
      <c r="H3369" s="26" t="s">
        <v>2540</v>
      </c>
      <c r="I3369" s="117" t="s">
        <v>2550</v>
      </c>
      <c r="J3369" s="33"/>
      <c r="K3369" s="28">
        <v>1.6</v>
      </c>
      <c r="M3369" s="212">
        <v>1</v>
      </c>
      <c r="N3369" s="363" t="s">
        <v>105</v>
      </c>
      <c r="O3369" s="214" t="s">
        <v>2579</v>
      </c>
      <c r="P3369" s="212">
        <f t="shared" si="301"/>
        <v>43.8</v>
      </c>
      <c r="Q3369" s="215" t="s">
        <v>105</v>
      </c>
      <c r="R3369" s="212">
        <f t="shared" si="300"/>
        <v>43.8</v>
      </c>
    </row>
    <row r="3370" spans="6:18" ht="24" customHeight="1">
      <c r="H3370" s="26" t="s">
        <v>401</v>
      </c>
      <c r="J3370" s="33"/>
      <c r="K3370" s="28">
        <f>SUM(K3366:K3369)</f>
        <v>868.14</v>
      </c>
      <c r="M3370" s="212">
        <v>58</v>
      </c>
      <c r="N3370" s="363" t="s">
        <v>105</v>
      </c>
      <c r="O3370" s="356" t="s">
        <v>2509</v>
      </c>
      <c r="P3370" s="356">
        <f>P3335</f>
        <v>2.37</v>
      </c>
      <c r="Q3370" s="215" t="s">
        <v>105</v>
      </c>
      <c r="R3370" s="212">
        <f t="shared" si="300"/>
        <v>137.46</v>
      </c>
    </row>
    <row r="3371" spans="6:18" ht="24" customHeight="1">
      <c r="H3371" s="30" t="s">
        <v>403</v>
      </c>
      <c r="J3371" s="33"/>
      <c r="K3371" s="28">
        <f>K3370/10</f>
        <v>86.813999999999993</v>
      </c>
      <c r="M3371" s="356"/>
      <c r="N3371" s="357"/>
      <c r="O3371" s="356"/>
      <c r="P3371" s="356"/>
      <c r="Q3371" s="359"/>
      <c r="R3371" s="364" t="s">
        <v>48</v>
      </c>
    </row>
    <row r="3372" spans="6:18" ht="24" customHeight="1">
      <c r="M3372" s="356"/>
      <c r="N3372" s="357"/>
      <c r="O3372" s="214" t="s">
        <v>2630</v>
      </c>
      <c r="P3372" s="356"/>
      <c r="Q3372" s="359"/>
      <c r="R3372" s="212">
        <f>SUM(R3360:R3370)</f>
        <v>9255.2546799999982</v>
      </c>
    </row>
    <row r="3373" spans="6:18" ht="24" customHeight="1">
      <c r="M3373" s="356"/>
      <c r="N3373" s="357"/>
      <c r="O3373" s="356"/>
      <c r="P3373" s="356"/>
      <c r="Q3373" s="359"/>
      <c r="R3373" s="364" t="s">
        <v>48</v>
      </c>
    </row>
    <row r="3374" spans="6:18" ht="24" customHeight="1">
      <c r="F3374" s="356"/>
      <c r="G3374" s="357"/>
      <c r="H3374" s="214"/>
      <c r="I3374" s="360"/>
      <c r="J3374" s="443"/>
      <c r="K3374" s="356"/>
      <c r="M3374" s="356"/>
      <c r="N3374" s="357"/>
      <c r="O3374" s="370" t="s">
        <v>403</v>
      </c>
      <c r="P3374" s="356"/>
      <c r="Q3374" s="361" t="s">
        <v>2338</v>
      </c>
      <c r="R3374" s="371">
        <f>R3372/M3363</f>
        <v>5337.5171164936555</v>
      </c>
    </row>
    <row r="3375" spans="6:18" ht="24" customHeight="1">
      <c r="F3375" s="356"/>
      <c r="G3375" s="357"/>
      <c r="H3375" s="214" t="s">
        <v>2622</v>
      </c>
      <c r="I3375" s="360" t="s">
        <v>41</v>
      </c>
      <c r="J3375" s="444">
        <v>3.9E-2</v>
      </c>
      <c r="K3375" s="356" t="s">
        <v>249</v>
      </c>
      <c r="N3375" s="29"/>
      <c r="Q3375" s="31"/>
      <c r="R3375" s="35" t="s">
        <v>41</v>
      </c>
    </row>
    <row r="3376" spans="6:18" ht="24" customHeight="1">
      <c r="F3376" s="356"/>
      <c r="G3376" s="357"/>
      <c r="H3376" s="214" t="s">
        <v>2543</v>
      </c>
      <c r="J3376" s="445"/>
      <c r="K3376" s="356"/>
      <c r="M3376" s="215"/>
      <c r="N3376" s="363" t="s">
        <v>67</v>
      </c>
      <c r="O3376" s="214" t="s">
        <v>2619</v>
      </c>
      <c r="P3376" s="356"/>
      <c r="Q3376" s="359"/>
      <c r="R3376" s="356"/>
    </row>
    <row r="3377" spans="6:18" ht="24" customHeight="1">
      <c r="F3377" s="356"/>
      <c r="G3377" s="357"/>
      <c r="H3377" s="214" t="s">
        <v>2631</v>
      </c>
      <c r="I3377" s="360" t="s">
        <v>41</v>
      </c>
      <c r="J3377" s="446">
        <v>1.519E-2</v>
      </c>
      <c r="K3377" s="356"/>
      <c r="M3377" s="356"/>
      <c r="N3377" s="357"/>
      <c r="O3377" s="214" t="s">
        <v>1311</v>
      </c>
      <c r="P3377" s="356"/>
      <c r="Q3377" s="359"/>
      <c r="R3377" s="356"/>
    </row>
    <row r="3378" spans="6:18" ht="24" customHeight="1">
      <c r="F3378" s="356"/>
      <c r="G3378" s="357"/>
      <c r="H3378" s="214" t="s">
        <v>2632</v>
      </c>
      <c r="I3378" s="360" t="s">
        <v>41</v>
      </c>
      <c r="J3378" s="455">
        <v>6.7499999999999999E-3</v>
      </c>
      <c r="K3378" s="388"/>
      <c r="M3378" s="356"/>
      <c r="N3378" s="357"/>
      <c r="O3378" s="442" t="s">
        <v>2633</v>
      </c>
      <c r="P3378" s="356"/>
      <c r="Q3378" s="359"/>
      <c r="R3378" s="356"/>
    </row>
    <row r="3379" spans="6:18" ht="24" customHeight="1">
      <c r="F3379" s="356"/>
      <c r="G3379" s="357"/>
      <c r="H3379" s="356"/>
      <c r="I3379" s="356"/>
      <c r="J3379" s="364" t="s">
        <v>48</v>
      </c>
      <c r="M3379" s="356"/>
      <c r="N3379" s="357"/>
      <c r="O3379" s="364" t="s">
        <v>48</v>
      </c>
      <c r="P3379" s="356"/>
      <c r="Q3379" s="359"/>
      <c r="R3379" s="356"/>
    </row>
    <row r="3380" spans="6:18" ht="24" customHeight="1">
      <c r="F3380" s="356"/>
      <c r="G3380" s="357"/>
      <c r="H3380" s="356"/>
      <c r="I3380" s="356"/>
      <c r="J3380" s="447">
        <v>2.1940000000000001E-2</v>
      </c>
      <c r="K3380" s="28" t="s">
        <v>249</v>
      </c>
      <c r="M3380" s="356"/>
      <c r="N3380" s="357"/>
      <c r="O3380" s="214" t="s">
        <v>2634</v>
      </c>
      <c r="P3380" s="360" t="s">
        <v>41</v>
      </c>
      <c r="Q3380" s="443">
        <v>2.081</v>
      </c>
      <c r="R3380" s="356" t="s">
        <v>788</v>
      </c>
    </row>
    <row r="3381" spans="6:18" ht="24" customHeight="1">
      <c r="F3381" s="356"/>
      <c r="G3381" s="357"/>
      <c r="H3381" s="356"/>
      <c r="I3381" s="356"/>
      <c r="J3381" s="364" t="s">
        <v>48</v>
      </c>
      <c r="M3381" s="356"/>
      <c r="N3381" s="357"/>
      <c r="O3381" s="214"/>
      <c r="P3381" s="360"/>
      <c r="Q3381" s="443"/>
      <c r="R3381" s="356"/>
    </row>
    <row r="3382" spans="6:18" ht="24" customHeight="1">
      <c r="F3382" s="356"/>
      <c r="G3382" s="357"/>
      <c r="H3382" s="214" t="s">
        <v>2607</v>
      </c>
      <c r="I3382" s="356"/>
      <c r="J3382" s="448">
        <v>0.58750000000000002</v>
      </c>
      <c r="K3382" s="388"/>
      <c r="M3382" s="356"/>
      <c r="N3382" s="357"/>
      <c r="O3382" s="214" t="s">
        <v>2622</v>
      </c>
      <c r="P3382" s="360" t="s">
        <v>41</v>
      </c>
      <c r="Q3382" s="444">
        <v>3.9E-2</v>
      </c>
      <c r="R3382" s="356" t="s">
        <v>249</v>
      </c>
    </row>
    <row r="3383" spans="6:18" ht="24" customHeight="1">
      <c r="F3383" s="356"/>
      <c r="G3383" s="357"/>
      <c r="H3383" s="214" t="s">
        <v>2608</v>
      </c>
      <c r="I3383" s="356"/>
      <c r="J3383" s="449">
        <v>0.28129999999999999</v>
      </c>
      <c r="K3383" s="388"/>
      <c r="M3383" s="356"/>
      <c r="N3383" s="357"/>
      <c r="O3383" s="214" t="s">
        <v>2543</v>
      </c>
      <c r="Q3383" s="445"/>
      <c r="R3383" s="356"/>
    </row>
    <row r="3384" spans="6:18" ht="24" customHeight="1">
      <c r="F3384" s="356"/>
      <c r="G3384" s="357"/>
      <c r="H3384" s="214"/>
      <c r="I3384" s="356"/>
      <c r="J3384" s="364" t="s">
        <v>48</v>
      </c>
      <c r="K3384" s="388"/>
      <c r="M3384" s="356"/>
      <c r="N3384" s="357"/>
      <c r="O3384" s="214" t="s">
        <v>2631</v>
      </c>
      <c r="P3384" s="360" t="s">
        <v>41</v>
      </c>
      <c r="Q3384" s="446">
        <v>1.519E-2</v>
      </c>
      <c r="R3384" s="356"/>
    </row>
    <row r="3385" spans="6:18" ht="24" customHeight="1">
      <c r="F3385" s="356"/>
      <c r="G3385" s="357"/>
      <c r="H3385" s="214"/>
      <c r="I3385" s="356"/>
      <c r="J3385" s="450">
        <v>0.86880000000000002</v>
      </c>
      <c r="K3385" s="362"/>
      <c r="M3385" s="356"/>
      <c r="N3385" s="357"/>
      <c r="O3385" s="214" t="s">
        <v>2632</v>
      </c>
      <c r="P3385" s="360" t="s">
        <v>41</v>
      </c>
      <c r="Q3385" s="455">
        <v>6.7499999999999999E-3</v>
      </c>
      <c r="R3385" s="388"/>
    </row>
    <row r="3386" spans="6:18" ht="24" customHeight="1">
      <c r="F3386" s="356"/>
      <c r="G3386" s="357"/>
      <c r="H3386" s="356"/>
      <c r="I3386" s="356"/>
      <c r="J3386" s="364" t="s">
        <v>48</v>
      </c>
      <c r="K3386" s="364"/>
      <c r="M3386" s="356"/>
      <c r="N3386" s="357"/>
      <c r="O3386" s="356"/>
      <c r="P3386" s="356"/>
      <c r="Q3386" s="364" t="s">
        <v>48</v>
      </c>
    </row>
    <row r="3387" spans="6:18" ht="24" customHeight="1">
      <c r="F3387" s="388">
        <v>3.9E-2</v>
      </c>
      <c r="G3387" s="363" t="s">
        <v>93</v>
      </c>
      <c r="H3387" s="214" t="s">
        <v>1327</v>
      </c>
      <c r="I3387" s="212">
        <f>C88</f>
        <v>111600</v>
      </c>
      <c r="J3387" s="215" t="s">
        <v>93</v>
      </c>
      <c r="K3387" s="212">
        <v>2868.26</v>
      </c>
      <c r="M3387" s="356"/>
      <c r="N3387" s="357"/>
      <c r="O3387" s="356"/>
      <c r="P3387" s="356"/>
      <c r="Q3387" s="447">
        <v>2.1940000000000001E-2</v>
      </c>
      <c r="R3387" s="28" t="s">
        <v>249</v>
      </c>
    </row>
    <row r="3388" spans="6:18" ht="24" customHeight="1">
      <c r="F3388" s="388">
        <v>2.1940000000000001E-2</v>
      </c>
      <c r="G3388" s="363" t="s">
        <v>93</v>
      </c>
      <c r="H3388" s="214" t="s">
        <v>1329</v>
      </c>
      <c r="I3388" s="212">
        <f>C89</f>
        <v>99400</v>
      </c>
      <c r="J3388" s="215" t="s">
        <v>93</v>
      </c>
      <c r="K3388" s="212">
        <v>1435.86</v>
      </c>
      <c r="M3388" s="356"/>
      <c r="N3388" s="357"/>
      <c r="O3388" s="356"/>
      <c r="P3388" s="356"/>
      <c r="Q3388" s="364" t="s">
        <v>48</v>
      </c>
    </row>
    <row r="3389" spans="6:18" ht="24" customHeight="1">
      <c r="F3389" s="388">
        <v>0.86880000000000002</v>
      </c>
      <c r="G3389" s="363" t="s">
        <v>438</v>
      </c>
      <c r="H3389" s="26" t="s">
        <v>456</v>
      </c>
      <c r="I3389" s="212">
        <f>C784</f>
        <v>0</v>
      </c>
      <c r="J3389" s="215" t="s">
        <v>93</v>
      </c>
      <c r="K3389" s="212">
        <v>336.66</v>
      </c>
      <c r="M3389" s="356"/>
      <c r="N3389" s="357"/>
      <c r="O3389" s="214" t="s">
        <v>2607</v>
      </c>
      <c r="P3389" s="356"/>
      <c r="Q3389" s="448">
        <v>0.58750000000000002</v>
      </c>
      <c r="R3389" s="388"/>
    </row>
    <row r="3390" spans="6:18" ht="24" customHeight="1">
      <c r="F3390" s="404">
        <v>2.081</v>
      </c>
      <c r="G3390" s="363" t="s">
        <v>438</v>
      </c>
      <c r="H3390" s="214" t="s">
        <v>1324</v>
      </c>
      <c r="I3390" s="462">
        <v>363</v>
      </c>
      <c r="J3390" s="215" t="s">
        <v>438</v>
      </c>
      <c r="K3390" s="212">
        <v>755.4</v>
      </c>
      <c r="M3390" s="356"/>
      <c r="N3390" s="357"/>
      <c r="O3390" s="214" t="s">
        <v>2608</v>
      </c>
      <c r="P3390" s="356"/>
      <c r="Q3390" s="449">
        <v>0.28129999999999999</v>
      </c>
      <c r="R3390" s="388"/>
    </row>
    <row r="3391" spans="6:18" ht="24" customHeight="1">
      <c r="F3391" s="212">
        <v>2</v>
      </c>
      <c r="G3391" s="363" t="s">
        <v>196</v>
      </c>
      <c r="H3391" s="365" t="s">
        <v>2635</v>
      </c>
      <c r="I3391" s="212">
        <f t="shared" ref="I3391:I3396" si="302">I3322</f>
        <v>50.9</v>
      </c>
      <c r="J3391" s="215" t="s">
        <v>105</v>
      </c>
      <c r="K3391" s="212">
        <v>84</v>
      </c>
      <c r="M3391" s="356"/>
      <c r="N3391" s="357"/>
      <c r="O3391" s="214"/>
      <c r="P3391" s="356"/>
      <c r="Q3391" s="364" t="s">
        <v>48</v>
      </c>
      <c r="R3391" s="388"/>
    </row>
    <row r="3392" spans="6:18" ht="24" customHeight="1">
      <c r="F3392" s="212">
        <v>4</v>
      </c>
      <c r="G3392" s="363" t="s">
        <v>105</v>
      </c>
      <c r="H3392" s="365" t="s">
        <v>2636</v>
      </c>
      <c r="I3392" s="212">
        <f t="shared" si="302"/>
        <v>79.099999999999994</v>
      </c>
      <c r="J3392" s="215" t="s">
        <v>105</v>
      </c>
      <c r="K3392" s="212">
        <v>232</v>
      </c>
      <c r="M3392" s="356"/>
      <c r="N3392" s="357"/>
      <c r="O3392" s="214"/>
      <c r="P3392" s="356"/>
      <c r="Q3392" s="450">
        <v>0.86880000000000002</v>
      </c>
      <c r="R3392" s="362"/>
    </row>
    <row r="3393" spans="6:18" ht="24" customHeight="1">
      <c r="F3393" s="212">
        <v>2</v>
      </c>
      <c r="G3393" s="363" t="s">
        <v>105</v>
      </c>
      <c r="H3393" s="365" t="s">
        <v>2637</v>
      </c>
      <c r="I3393" s="212">
        <f t="shared" si="302"/>
        <v>86.3</v>
      </c>
      <c r="J3393" s="215" t="s">
        <v>105</v>
      </c>
      <c r="K3393" s="212">
        <v>126</v>
      </c>
      <c r="M3393" s="356"/>
      <c r="N3393" s="357"/>
      <c r="O3393" s="356"/>
      <c r="P3393" s="356"/>
      <c r="Q3393" s="364" t="s">
        <v>48</v>
      </c>
      <c r="R3393" s="364"/>
    </row>
    <row r="3394" spans="6:18" ht="24" customHeight="1">
      <c r="F3394" s="212">
        <v>1</v>
      </c>
      <c r="G3394" s="363" t="s">
        <v>105</v>
      </c>
      <c r="H3394" s="365" t="s">
        <v>2638</v>
      </c>
      <c r="I3394" s="212">
        <f t="shared" si="302"/>
        <v>185.2</v>
      </c>
      <c r="J3394" s="215" t="s">
        <v>105</v>
      </c>
      <c r="K3394" s="212">
        <v>152</v>
      </c>
      <c r="M3394" s="388">
        <v>3.9E-2</v>
      </c>
      <c r="N3394" s="363" t="s">
        <v>93</v>
      </c>
      <c r="O3394" s="214" t="s">
        <v>1327</v>
      </c>
      <c r="P3394" s="212">
        <f>P3291</f>
        <v>111600</v>
      </c>
      <c r="Q3394" s="215" t="s">
        <v>93</v>
      </c>
      <c r="R3394" s="212">
        <f>P3394*M3394</f>
        <v>4352.3999999999996</v>
      </c>
    </row>
    <row r="3395" spans="6:18" ht="24" customHeight="1">
      <c r="F3395" s="212">
        <v>1</v>
      </c>
      <c r="G3395" s="363" t="s">
        <v>105</v>
      </c>
      <c r="H3395" s="365" t="s">
        <v>2578</v>
      </c>
      <c r="I3395" s="212">
        <f t="shared" si="302"/>
        <v>22.7</v>
      </c>
      <c r="J3395" s="215" t="s">
        <v>105</v>
      </c>
      <c r="K3395" s="212">
        <v>20</v>
      </c>
      <c r="M3395" s="388">
        <v>2.1940000000000001E-2</v>
      </c>
      <c r="N3395" s="363" t="s">
        <v>93</v>
      </c>
      <c r="O3395" s="214" t="s">
        <v>1329</v>
      </c>
      <c r="P3395" s="212">
        <f>P3292</f>
        <v>99400</v>
      </c>
      <c r="Q3395" s="215" t="s">
        <v>93</v>
      </c>
      <c r="R3395" s="212">
        <f t="shared" ref="R3395:R3404" si="303">P3395*M3395</f>
        <v>2180.8360000000002</v>
      </c>
    </row>
    <row r="3396" spans="6:18" ht="24" customHeight="1">
      <c r="F3396" s="212">
        <v>1</v>
      </c>
      <c r="G3396" s="363" t="s">
        <v>105</v>
      </c>
      <c r="H3396" s="365" t="s">
        <v>2579</v>
      </c>
      <c r="I3396" s="212">
        <f t="shared" si="302"/>
        <v>43.8</v>
      </c>
      <c r="J3396" s="215" t="s">
        <v>105</v>
      </c>
      <c r="K3396" s="212">
        <v>37</v>
      </c>
      <c r="M3396" s="388">
        <v>0.86880000000000002</v>
      </c>
      <c r="N3396" s="363" t="s">
        <v>438</v>
      </c>
      <c r="O3396" s="26" t="s">
        <v>456</v>
      </c>
      <c r="P3396" s="212">
        <f>P3362</f>
        <v>387.4</v>
      </c>
      <c r="Q3396" s="215" t="s">
        <v>93</v>
      </c>
      <c r="R3396" s="212">
        <f t="shared" si="303"/>
        <v>336.57311999999996</v>
      </c>
    </row>
    <row r="3397" spans="6:18" ht="24" customHeight="1">
      <c r="F3397" s="356"/>
      <c r="G3397" s="357"/>
      <c r="H3397" s="356" t="s">
        <v>2509</v>
      </c>
      <c r="I3397" s="356"/>
      <c r="J3397" s="359"/>
      <c r="K3397" s="463"/>
      <c r="M3397" s="404">
        <v>2.081</v>
      </c>
      <c r="N3397" s="363" t="s">
        <v>438</v>
      </c>
      <c r="O3397" s="214" t="s">
        <v>1324</v>
      </c>
      <c r="P3397" s="212">
        <f>P3294</f>
        <v>1348.1999999999998</v>
      </c>
      <c r="Q3397" s="215" t="s">
        <v>438</v>
      </c>
      <c r="R3397" s="212">
        <f t="shared" si="303"/>
        <v>2805.6041999999998</v>
      </c>
    </row>
    <row r="3398" spans="6:18" ht="24" customHeight="1">
      <c r="F3398" s="356"/>
      <c r="G3398" s="357"/>
      <c r="H3398" s="356"/>
      <c r="I3398" s="356"/>
      <c r="J3398" s="359"/>
      <c r="K3398" s="364" t="s">
        <v>48</v>
      </c>
      <c r="M3398" s="212">
        <v>2</v>
      </c>
      <c r="N3398" s="363" t="s">
        <v>196</v>
      </c>
      <c r="O3398" s="214" t="s">
        <v>2554</v>
      </c>
      <c r="P3398" s="212">
        <f t="shared" ref="P3398:P3403" si="304">P3295</f>
        <v>50.9</v>
      </c>
      <c r="Q3398" s="215" t="s">
        <v>105</v>
      </c>
      <c r="R3398" s="212">
        <f t="shared" si="303"/>
        <v>101.8</v>
      </c>
    </row>
    <row r="3399" spans="6:18" ht="24" customHeight="1">
      <c r="F3399" s="356"/>
      <c r="G3399" s="357"/>
      <c r="H3399" s="214" t="s">
        <v>2639</v>
      </c>
      <c r="I3399" s="356"/>
      <c r="J3399" s="359"/>
      <c r="K3399" s="212">
        <v>6067.81</v>
      </c>
      <c r="M3399" s="212">
        <v>4</v>
      </c>
      <c r="N3399" s="363" t="s">
        <v>105</v>
      </c>
      <c r="O3399" s="214" t="s">
        <v>1326</v>
      </c>
      <c r="P3399" s="212">
        <f t="shared" si="304"/>
        <v>79.099999999999994</v>
      </c>
      <c r="Q3399" s="215" t="s">
        <v>105</v>
      </c>
      <c r="R3399" s="212">
        <f t="shared" si="303"/>
        <v>316.39999999999998</v>
      </c>
    </row>
    <row r="3400" spans="6:18" ht="24" customHeight="1">
      <c r="F3400" s="356"/>
      <c r="G3400" s="357"/>
      <c r="H3400" s="356"/>
      <c r="I3400" s="356"/>
      <c r="J3400" s="359"/>
      <c r="K3400" s="364" t="s">
        <v>48</v>
      </c>
      <c r="M3400" s="212">
        <v>2</v>
      </c>
      <c r="N3400" s="363" t="s">
        <v>105</v>
      </c>
      <c r="O3400" s="214" t="s">
        <v>2576</v>
      </c>
      <c r="P3400" s="212">
        <f t="shared" si="304"/>
        <v>86.3</v>
      </c>
      <c r="Q3400" s="215" t="s">
        <v>105</v>
      </c>
      <c r="R3400" s="212">
        <f t="shared" si="303"/>
        <v>172.6</v>
      </c>
    </row>
    <row r="3401" spans="6:18" ht="24" customHeight="1">
      <c r="F3401" s="356"/>
      <c r="G3401" s="357"/>
      <c r="H3401" s="370" t="s">
        <v>403</v>
      </c>
      <c r="I3401" s="356"/>
      <c r="J3401" s="361" t="s">
        <v>2338</v>
      </c>
      <c r="K3401" s="371">
        <v>2915.81</v>
      </c>
      <c r="M3401" s="212">
        <v>1</v>
      </c>
      <c r="N3401" s="363" t="s">
        <v>105</v>
      </c>
      <c r="O3401" s="214" t="s">
        <v>2577</v>
      </c>
      <c r="P3401" s="212">
        <f t="shared" si="304"/>
        <v>185.2</v>
      </c>
      <c r="Q3401" s="215" t="s">
        <v>105</v>
      </c>
      <c r="R3401" s="212">
        <f t="shared" si="303"/>
        <v>185.2</v>
      </c>
    </row>
    <row r="3402" spans="6:18" ht="24" customHeight="1">
      <c r="K3402" s="35" t="s">
        <v>41</v>
      </c>
      <c r="M3402" s="212">
        <v>1</v>
      </c>
      <c r="N3402" s="363" t="s">
        <v>105</v>
      </c>
      <c r="O3402" s="214" t="s">
        <v>2578</v>
      </c>
      <c r="P3402" s="212">
        <f t="shared" si="304"/>
        <v>22.7</v>
      </c>
      <c r="Q3402" s="215" t="s">
        <v>105</v>
      </c>
      <c r="R3402" s="212">
        <f t="shared" si="303"/>
        <v>22.7</v>
      </c>
    </row>
    <row r="3403" spans="6:18" ht="24" customHeight="1">
      <c r="M3403" s="212">
        <v>1</v>
      </c>
      <c r="N3403" s="363" t="s">
        <v>105</v>
      </c>
      <c r="O3403" s="214" t="s">
        <v>2579</v>
      </c>
      <c r="P3403" s="212">
        <f t="shared" si="304"/>
        <v>43.8</v>
      </c>
      <c r="Q3403" s="215" t="s">
        <v>105</v>
      </c>
      <c r="R3403" s="212">
        <f t="shared" si="303"/>
        <v>43.8</v>
      </c>
    </row>
    <row r="3404" spans="6:18" ht="24" customHeight="1">
      <c r="M3404" s="212">
        <v>58</v>
      </c>
      <c r="N3404" s="363" t="s">
        <v>105</v>
      </c>
      <c r="O3404" s="356" t="s">
        <v>2509</v>
      </c>
      <c r="P3404" s="356">
        <f>P3370</f>
        <v>2.37</v>
      </c>
      <c r="Q3404" s="359"/>
      <c r="R3404" s="212">
        <f t="shared" si="303"/>
        <v>137.46</v>
      </c>
    </row>
    <row r="3405" spans="6:18" ht="24" customHeight="1">
      <c r="M3405" s="356"/>
      <c r="N3405" s="357"/>
      <c r="O3405" s="356"/>
      <c r="P3405" s="356"/>
      <c r="Q3405" s="359"/>
      <c r="R3405" s="364" t="s">
        <v>48</v>
      </c>
    </row>
    <row r="3406" spans="6:18" ht="24" customHeight="1">
      <c r="F3406" s="139"/>
      <c r="G3406" s="171"/>
      <c r="H3406" s="312" t="s">
        <v>2640</v>
      </c>
      <c r="I3406" s="312"/>
      <c r="J3406" s="172"/>
      <c r="K3406" s="139"/>
      <c r="M3406" s="356"/>
      <c r="N3406" s="357"/>
      <c r="O3406" s="214" t="s">
        <v>2639</v>
      </c>
      <c r="P3406" s="356"/>
      <c r="Q3406" s="359"/>
      <c r="R3406" s="212">
        <f>SUM(R3394:R3404)</f>
        <v>10655.373319999999</v>
      </c>
    </row>
    <row r="3407" spans="6:18" ht="24" customHeight="1">
      <c r="F3407" s="139"/>
      <c r="G3407" s="171"/>
      <c r="H3407" s="139"/>
      <c r="I3407" s="139"/>
      <c r="J3407" s="172"/>
      <c r="K3407" s="139"/>
      <c r="M3407" s="356"/>
      <c r="N3407" s="357"/>
      <c r="O3407" s="356"/>
      <c r="P3407" s="356"/>
      <c r="Q3407" s="359"/>
      <c r="R3407" s="364" t="s">
        <v>48</v>
      </c>
    </row>
    <row r="3408" spans="6:18" ht="24" customHeight="1">
      <c r="F3408" s="28" t="s">
        <v>2641</v>
      </c>
      <c r="G3408" s="171"/>
      <c r="H3408" s="139"/>
      <c r="I3408" s="328">
        <f>2*0.95*2.325</f>
        <v>4.4175000000000004</v>
      </c>
      <c r="J3408" s="172"/>
      <c r="K3408" s="139"/>
      <c r="M3408" s="356"/>
      <c r="N3408" s="357"/>
      <c r="O3408" s="370" t="s">
        <v>403</v>
      </c>
      <c r="P3408" s="356"/>
      <c r="Q3408" s="361" t="s">
        <v>2338</v>
      </c>
      <c r="R3408" s="371">
        <f>R3406/M3397</f>
        <v>5120.3139452186442</v>
      </c>
    </row>
    <row r="3409" spans="6:18" ht="24" customHeight="1">
      <c r="F3409" s="28" t="s">
        <v>2642</v>
      </c>
      <c r="G3409" s="171"/>
      <c r="H3409" s="139"/>
      <c r="I3409" s="328">
        <f>2*2*2.325*0.075*0.0375</f>
        <v>2.6156249999999999E-2</v>
      </c>
      <c r="J3409" s="172"/>
      <c r="K3409" s="139"/>
      <c r="N3409" s="29"/>
      <c r="Q3409" s="31"/>
      <c r="R3409" s="35" t="s">
        <v>41</v>
      </c>
    </row>
    <row r="3410" spans="6:18" ht="24" customHeight="1">
      <c r="F3410" s="139" t="s">
        <v>2285</v>
      </c>
      <c r="G3410" s="171"/>
      <c r="H3410" s="139"/>
      <c r="I3410" s="170">
        <f>2*3*0.95*0.15*0.0375</f>
        <v>3.2062499999999994E-2</v>
      </c>
      <c r="J3410" s="172"/>
      <c r="K3410" s="139"/>
    </row>
    <row r="3411" spans="6:18" ht="24" customHeight="1">
      <c r="F3411" s="139" t="s">
        <v>2643</v>
      </c>
      <c r="G3411" s="29" t="s">
        <v>2644</v>
      </c>
      <c r="H3411" s="139"/>
      <c r="I3411" s="170">
        <f>2*2*0.95*0.075*0.0375</f>
        <v>1.0687499999999999E-2</v>
      </c>
      <c r="J3411" s="172"/>
      <c r="K3411" s="139"/>
      <c r="N3411" s="29"/>
      <c r="O3411" s="41"/>
      <c r="Q3411" s="31"/>
    </row>
    <row r="3412" spans="6:18" ht="24" customHeight="1">
      <c r="F3412" s="139"/>
      <c r="G3412" s="171"/>
      <c r="H3412" s="139"/>
      <c r="I3412" s="329">
        <f>SUM(I3410:I3411)</f>
        <v>4.2749999999999996E-2</v>
      </c>
      <c r="J3412" s="172"/>
      <c r="K3412" s="139"/>
    </row>
    <row r="3413" spans="6:18" ht="24" customHeight="1">
      <c r="F3413" s="139"/>
      <c r="G3413" s="171"/>
      <c r="H3413" s="139"/>
      <c r="I3413" s="139"/>
      <c r="J3413" s="172"/>
      <c r="K3413" s="139"/>
    </row>
    <row r="3414" spans="6:18" ht="24" customHeight="1">
      <c r="F3414" s="139"/>
      <c r="G3414" s="171"/>
      <c r="H3414" s="139"/>
      <c r="I3414" s="139"/>
      <c r="J3414" s="172"/>
      <c r="K3414" s="139"/>
    </row>
    <row r="3415" spans="6:18" ht="24" customHeight="1">
      <c r="F3415" s="28" t="s">
        <v>2645</v>
      </c>
      <c r="G3415" s="171"/>
      <c r="H3415" s="139"/>
      <c r="I3415" s="170">
        <f>2*4*0.825*0.36*0.01875</f>
        <v>4.4549999999999999E-2</v>
      </c>
      <c r="J3415" s="172"/>
      <c r="K3415" s="139"/>
    </row>
    <row r="3416" spans="6:18" ht="24" customHeight="1">
      <c r="F3416" s="28" t="s">
        <v>2646</v>
      </c>
      <c r="G3416" s="171"/>
      <c r="H3416" s="139"/>
      <c r="I3416" s="170">
        <f>2*0.825*0.36*0.01875</f>
        <v>1.11375E-2</v>
      </c>
      <c r="J3416" s="172"/>
      <c r="K3416" s="139"/>
    </row>
    <row r="3417" spans="6:18" ht="24" customHeight="1">
      <c r="F3417" s="139"/>
      <c r="G3417" s="171"/>
      <c r="H3417" s="139"/>
      <c r="I3417" s="329">
        <f>SUM(I3415:I3416)</f>
        <v>5.5687500000000001E-2</v>
      </c>
      <c r="J3417" s="172"/>
      <c r="K3417" s="139"/>
    </row>
    <row r="3418" spans="6:18" ht="24" customHeight="1">
      <c r="F3418" s="139"/>
      <c r="G3418" s="171"/>
      <c r="H3418" s="41" t="s">
        <v>2281</v>
      </c>
      <c r="I3418" s="139"/>
      <c r="J3418" s="172"/>
      <c r="K3418" s="139"/>
      <c r="M3418" s="215"/>
      <c r="N3418" s="363" t="s">
        <v>67</v>
      </c>
      <c r="O3418" s="214" t="s">
        <v>2562</v>
      </c>
      <c r="P3418" s="356"/>
      <c r="Q3418" s="359"/>
      <c r="R3418" s="356"/>
    </row>
    <row r="3419" spans="6:18" ht="24" customHeight="1">
      <c r="F3419" s="139"/>
      <c r="G3419" s="171"/>
      <c r="H3419" s="139"/>
      <c r="I3419" s="139"/>
      <c r="J3419" s="172"/>
      <c r="K3419" s="139"/>
      <c r="M3419" s="356"/>
      <c r="N3419" s="357"/>
      <c r="O3419" s="214" t="s">
        <v>1311</v>
      </c>
      <c r="P3419" s="356"/>
      <c r="Q3419" s="359"/>
      <c r="R3419" s="356"/>
    </row>
    <row r="3420" spans="6:18" ht="24" customHeight="1">
      <c r="F3420" s="170">
        <f>I3409</f>
        <v>2.6156249999999999E-2</v>
      </c>
      <c r="G3420" s="171" t="s">
        <v>93</v>
      </c>
      <c r="H3420" s="139" t="s">
        <v>2282</v>
      </c>
      <c r="I3420" s="139">
        <f>I2633</f>
        <v>111600</v>
      </c>
      <c r="J3420" s="172" t="s">
        <v>93</v>
      </c>
      <c r="K3420" s="139">
        <f>F3420*I3420</f>
        <v>2919.0374999999999</v>
      </c>
      <c r="M3420" s="356"/>
      <c r="N3420" s="357"/>
      <c r="O3420" s="442" t="s">
        <v>2580</v>
      </c>
      <c r="P3420" s="356"/>
      <c r="Q3420" s="359"/>
      <c r="R3420" s="356"/>
    </row>
    <row r="3421" spans="6:18" ht="24" customHeight="1">
      <c r="F3421" s="170">
        <f>I3412</f>
        <v>4.2749999999999996E-2</v>
      </c>
      <c r="G3421" s="171" t="s">
        <v>93</v>
      </c>
      <c r="H3421" s="139" t="s">
        <v>1416</v>
      </c>
      <c r="I3421" s="139">
        <f>I2634</f>
        <v>99400</v>
      </c>
      <c r="J3421" s="172" t="s">
        <v>93</v>
      </c>
      <c r="K3421" s="139">
        <f t="shared" ref="K3421:K3430" si="305">F3421*I3421</f>
        <v>4249.3499999999995</v>
      </c>
      <c r="M3421" s="356"/>
      <c r="N3421" s="357"/>
      <c r="O3421" s="364" t="s">
        <v>48</v>
      </c>
      <c r="P3421" s="356"/>
      <c r="Q3421" s="359"/>
      <c r="R3421" s="356"/>
    </row>
    <row r="3422" spans="6:18" ht="24" customHeight="1">
      <c r="F3422" s="173">
        <f>I3417</f>
        <v>5.5687500000000001E-2</v>
      </c>
      <c r="G3422" s="171" t="s">
        <v>93</v>
      </c>
      <c r="H3422" s="28" t="s">
        <v>2647</v>
      </c>
      <c r="I3422" s="139">
        <f>I2635</f>
        <v>101921.4</v>
      </c>
      <c r="J3422" s="172" t="s">
        <v>93</v>
      </c>
      <c r="K3422" s="139">
        <f t="shared" si="305"/>
        <v>5675.7479624999996</v>
      </c>
      <c r="M3422" s="356"/>
      <c r="N3422" s="357"/>
      <c r="O3422" s="214" t="s">
        <v>2581</v>
      </c>
      <c r="P3422" s="360" t="s">
        <v>41</v>
      </c>
      <c r="Q3422" s="443">
        <v>2.4279999999999999</v>
      </c>
      <c r="R3422" s="356" t="s">
        <v>788</v>
      </c>
    </row>
    <row r="3423" spans="6:18" ht="24" customHeight="1">
      <c r="F3423" s="170">
        <f>I3408</f>
        <v>4.4175000000000004</v>
      </c>
      <c r="G3423" s="171" t="s">
        <v>438</v>
      </c>
      <c r="H3423" s="139" t="s">
        <v>1418</v>
      </c>
      <c r="I3423" s="139">
        <f>I2636</f>
        <v>1617</v>
      </c>
      <c r="J3423" s="172" t="s">
        <v>438</v>
      </c>
      <c r="K3423" s="139">
        <f t="shared" si="305"/>
        <v>7143.0975000000008</v>
      </c>
      <c r="M3423" s="356"/>
      <c r="N3423" s="357"/>
      <c r="O3423" s="214"/>
      <c r="P3423" s="360"/>
      <c r="Q3423" s="443"/>
      <c r="R3423" s="356"/>
    </row>
    <row r="3424" spans="6:18" ht="24" customHeight="1">
      <c r="F3424" s="139">
        <v>2</v>
      </c>
      <c r="G3424" s="171" t="s">
        <v>1420</v>
      </c>
      <c r="H3424" s="28" t="s">
        <v>2306</v>
      </c>
      <c r="I3424" s="330">
        <v>450</v>
      </c>
      <c r="J3424" s="172" t="s">
        <v>793</v>
      </c>
      <c r="K3424" s="139">
        <f t="shared" si="305"/>
        <v>900</v>
      </c>
      <c r="M3424" s="356"/>
      <c r="N3424" s="357"/>
      <c r="O3424" s="214" t="s">
        <v>2542</v>
      </c>
      <c r="P3424" s="360" t="s">
        <v>41</v>
      </c>
      <c r="Q3424" s="444">
        <v>5.1999999999999998E-2</v>
      </c>
      <c r="R3424" s="356" t="s">
        <v>249</v>
      </c>
    </row>
    <row r="3425" spans="6:18" ht="24" customHeight="1">
      <c r="F3425" s="139">
        <v>6</v>
      </c>
      <c r="G3425" s="171" t="s">
        <v>1420</v>
      </c>
      <c r="H3425" s="28" t="s">
        <v>2307</v>
      </c>
      <c r="I3425" s="330">
        <v>79</v>
      </c>
      <c r="J3425" s="172" t="s">
        <v>793</v>
      </c>
      <c r="K3425" s="139">
        <f t="shared" si="305"/>
        <v>474</v>
      </c>
      <c r="M3425" s="356"/>
      <c r="N3425" s="357"/>
      <c r="O3425" s="214" t="s">
        <v>2543</v>
      </c>
      <c r="Q3425" s="445"/>
      <c r="R3425" s="356"/>
    </row>
    <row r="3426" spans="6:18" ht="24" customHeight="1">
      <c r="F3426" s="139">
        <v>4</v>
      </c>
      <c r="G3426" s="171" t="s">
        <v>1420</v>
      </c>
      <c r="H3426" s="28" t="s">
        <v>2308</v>
      </c>
      <c r="I3426" s="330">
        <v>130</v>
      </c>
      <c r="J3426" s="172" t="s">
        <v>793</v>
      </c>
      <c r="K3426" s="139">
        <f t="shared" si="305"/>
        <v>520</v>
      </c>
      <c r="M3426" s="356"/>
      <c r="N3426" s="357"/>
      <c r="O3426" s="214" t="s">
        <v>2584</v>
      </c>
      <c r="P3426" s="360" t="s">
        <v>41</v>
      </c>
      <c r="Q3426" s="446">
        <v>1.772E-2</v>
      </c>
      <c r="R3426" s="356"/>
    </row>
    <row r="3427" spans="6:18" ht="24" customHeight="1">
      <c r="F3427" s="139">
        <v>1</v>
      </c>
      <c r="G3427" s="171" t="s">
        <v>1420</v>
      </c>
      <c r="H3427" s="28" t="s">
        <v>2309</v>
      </c>
      <c r="I3427" s="330">
        <v>985</v>
      </c>
      <c r="J3427" s="172" t="s">
        <v>793</v>
      </c>
      <c r="K3427" s="139">
        <f t="shared" si="305"/>
        <v>985</v>
      </c>
      <c r="M3427" s="356"/>
      <c r="N3427" s="357"/>
      <c r="O3427" s="214" t="s">
        <v>2585</v>
      </c>
      <c r="P3427" s="360" t="s">
        <v>41</v>
      </c>
      <c r="Q3427" s="455">
        <v>7.8750000000000001E-3</v>
      </c>
      <c r="R3427" s="388"/>
    </row>
    <row r="3428" spans="6:18" ht="24" customHeight="1">
      <c r="F3428" s="139">
        <v>2</v>
      </c>
      <c r="G3428" s="171" t="s">
        <v>1420</v>
      </c>
      <c r="H3428" s="28" t="s">
        <v>2310</v>
      </c>
      <c r="I3428" s="330">
        <v>21.5</v>
      </c>
      <c r="J3428" s="172" t="s">
        <v>793</v>
      </c>
      <c r="K3428" s="139">
        <f t="shared" si="305"/>
        <v>43</v>
      </c>
      <c r="M3428" s="356"/>
      <c r="N3428" s="357"/>
      <c r="O3428" s="356"/>
      <c r="P3428" s="356"/>
      <c r="Q3428" s="364" t="s">
        <v>48</v>
      </c>
    </row>
    <row r="3429" spans="6:18" ht="24" customHeight="1">
      <c r="F3429" s="139">
        <v>2</v>
      </c>
      <c r="G3429" s="171" t="s">
        <v>1420</v>
      </c>
      <c r="H3429" s="139" t="s">
        <v>463</v>
      </c>
      <c r="I3429" s="139">
        <f>I3396</f>
        <v>43.8</v>
      </c>
      <c r="J3429" s="172" t="s">
        <v>793</v>
      </c>
      <c r="K3429" s="139">
        <f t="shared" si="305"/>
        <v>87.6</v>
      </c>
      <c r="M3429" s="356"/>
      <c r="N3429" s="357"/>
      <c r="O3429" s="356"/>
      <c r="P3429" s="356"/>
      <c r="Q3429" s="447">
        <v>2.5600000000000001E-2</v>
      </c>
      <c r="R3429" s="28" t="s">
        <v>249</v>
      </c>
    </row>
    <row r="3430" spans="6:18" ht="24" customHeight="1">
      <c r="F3430" s="174">
        <v>130</v>
      </c>
      <c r="G3430" s="171" t="s">
        <v>1420</v>
      </c>
      <c r="H3430" s="139" t="s">
        <v>1352</v>
      </c>
      <c r="I3430" s="330">
        <f>I3328</f>
        <v>2.37</v>
      </c>
      <c r="J3430" s="172"/>
      <c r="K3430" s="139">
        <f t="shared" si="305"/>
        <v>308.10000000000002</v>
      </c>
      <c r="M3430" s="356"/>
      <c r="N3430" s="357"/>
      <c r="O3430" s="356"/>
      <c r="P3430" s="356"/>
      <c r="Q3430" s="364" t="s">
        <v>48</v>
      </c>
    </row>
    <row r="3431" spans="6:18" ht="24" customHeight="1">
      <c r="F3431" s="139"/>
      <c r="G3431" s="171"/>
      <c r="H3431" s="139"/>
      <c r="I3431" s="139"/>
      <c r="J3431" s="172"/>
      <c r="K3431" s="175"/>
      <c r="M3431" s="356"/>
      <c r="N3431" s="357"/>
      <c r="O3431" s="214" t="s">
        <v>2648</v>
      </c>
      <c r="P3431" s="356"/>
      <c r="Q3431" s="329">
        <v>0.58750000000000002</v>
      </c>
      <c r="R3431" s="410" t="s">
        <v>788</v>
      </c>
    </row>
    <row r="3432" spans="6:18" ht="24" customHeight="1">
      <c r="F3432" s="139"/>
      <c r="G3432" s="101"/>
      <c r="H3432" s="41" t="s">
        <v>2649</v>
      </c>
      <c r="I3432" s="139"/>
      <c r="J3432" s="172"/>
      <c r="K3432" s="41">
        <f>SUM(K3420:K3431)</f>
        <v>23304.932962499995</v>
      </c>
      <c r="M3432" s="356"/>
      <c r="N3432" s="357"/>
      <c r="O3432" s="214" t="s">
        <v>2650</v>
      </c>
      <c r="P3432" s="356"/>
      <c r="Q3432" s="450">
        <v>5.3E-3</v>
      </c>
      <c r="R3432" s="410" t="s">
        <v>249</v>
      </c>
    </row>
    <row r="3433" spans="6:18" ht="24" customHeight="1">
      <c r="F3433" s="139"/>
      <c r="G3433" s="101"/>
      <c r="I3433" s="139"/>
      <c r="J3433" s="172"/>
      <c r="K3433" s="175" t="s">
        <v>1430</v>
      </c>
      <c r="M3433" s="356"/>
      <c r="N3433" s="357"/>
      <c r="O3433" s="214" t="s">
        <v>2651</v>
      </c>
      <c r="P3433" s="356"/>
      <c r="Q3433" s="450">
        <v>6.7</v>
      </c>
      <c r="R3433" s="410" t="s">
        <v>1125</v>
      </c>
    </row>
    <row r="3434" spans="6:18" ht="24" customHeight="1">
      <c r="F3434" s="139"/>
      <c r="G3434" s="101"/>
      <c r="H3434" s="41" t="s">
        <v>403</v>
      </c>
      <c r="I3434" s="139"/>
      <c r="J3434" s="172"/>
      <c r="K3434" s="41">
        <f>K3432/F3423</f>
        <v>5275.5932003395574</v>
      </c>
      <c r="M3434" s="356"/>
      <c r="N3434" s="357"/>
      <c r="O3434" s="356"/>
      <c r="P3434" s="356"/>
      <c r="Q3434" s="364"/>
      <c r="R3434" s="364"/>
    </row>
    <row r="3435" spans="6:18" ht="24" customHeight="1">
      <c r="G3435" s="28"/>
      <c r="J3435" s="28"/>
      <c r="M3435" s="388">
        <v>5.1999999999999998E-2</v>
      </c>
      <c r="N3435" s="363" t="s">
        <v>93</v>
      </c>
      <c r="O3435" s="214" t="s">
        <v>1327</v>
      </c>
      <c r="P3435" s="212">
        <f>P3221</f>
        <v>111600</v>
      </c>
      <c r="Q3435" s="215" t="s">
        <v>93</v>
      </c>
      <c r="R3435" s="212">
        <f>P3435*M3435</f>
        <v>5803.2</v>
      </c>
    </row>
    <row r="3436" spans="6:18" ht="24" customHeight="1">
      <c r="M3436" s="388">
        <v>2.5600000000000001E-2</v>
      </c>
      <c r="N3436" s="363" t="s">
        <v>93</v>
      </c>
      <c r="O3436" s="214" t="s">
        <v>1329</v>
      </c>
      <c r="P3436" s="212">
        <f>P3222</f>
        <v>99400</v>
      </c>
      <c r="Q3436" s="215" t="s">
        <v>93</v>
      </c>
      <c r="R3436" s="212">
        <f t="shared" ref="R3436:R3448" si="306">P3436*M3436</f>
        <v>2544.6400000000003</v>
      </c>
    </row>
    <row r="3437" spans="6:18" ht="24" customHeight="1">
      <c r="M3437" s="388">
        <v>5.3E-3</v>
      </c>
      <c r="N3437" s="363" t="s">
        <v>93</v>
      </c>
      <c r="O3437" s="214" t="s">
        <v>2551</v>
      </c>
      <c r="P3437" s="212">
        <f>P3223</f>
        <v>101921.4</v>
      </c>
      <c r="Q3437" s="215" t="s">
        <v>93</v>
      </c>
      <c r="R3437" s="212">
        <f t="shared" si="306"/>
        <v>540.18341999999996</v>
      </c>
    </row>
    <row r="3438" spans="6:18" ht="24" customHeight="1">
      <c r="M3438" s="404"/>
      <c r="N3438" s="357"/>
      <c r="O3438" s="214" t="s">
        <v>1404</v>
      </c>
      <c r="P3438" s="212"/>
      <c r="Q3438" s="359"/>
      <c r="R3438" s="212">
        <f t="shared" si="306"/>
        <v>0</v>
      </c>
    </row>
    <row r="3439" spans="6:18" ht="24" customHeight="1">
      <c r="M3439" s="404">
        <v>0.58750000000000002</v>
      </c>
      <c r="N3439" s="363" t="s">
        <v>438</v>
      </c>
      <c r="O3439" s="214" t="s">
        <v>2613</v>
      </c>
      <c r="P3439" s="212">
        <f>P3225</f>
        <v>355.5</v>
      </c>
      <c r="Q3439" s="359" t="s">
        <v>438</v>
      </c>
      <c r="R3439" s="212">
        <f t="shared" si="306"/>
        <v>208.85625000000002</v>
      </c>
    </row>
    <row r="3440" spans="6:18" ht="24" customHeight="1">
      <c r="M3440" s="404">
        <v>6.7</v>
      </c>
      <c r="N3440" s="363" t="s">
        <v>244</v>
      </c>
      <c r="O3440" s="214" t="s">
        <v>2614</v>
      </c>
      <c r="P3440" s="212">
        <f>P3226</f>
        <v>15.15</v>
      </c>
      <c r="Q3440" s="359" t="s">
        <v>1125</v>
      </c>
      <c r="R3440" s="212">
        <f t="shared" si="306"/>
        <v>101.50500000000001</v>
      </c>
    </row>
    <row r="3441" spans="6:18" ht="24" customHeight="1">
      <c r="M3441" s="404">
        <v>2.4279999999999999</v>
      </c>
      <c r="N3441" s="363" t="s">
        <v>438</v>
      </c>
      <c r="O3441" s="214" t="s">
        <v>1324</v>
      </c>
      <c r="P3441" s="212">
        <f>P3227</f>
        <v>1078</v>
      </c>
      <c r="Q3441" s="215" t="s">
        <v>438</v>
      </c>
      <c r="R3441" s="212">
        <f t="shared" si="306"/>
        <v>2617.384</v>
      </c>
    </row>
    <row r="3442" spans="6:18" ht="55.5" customHeight="1">
      <c r="M3442" s="212">
        <v>4</v>
      </c>
      <c r="N3442" s="363" t="s">
        <v>196</v>
      </c>
      <c r="O3442" s="214" t="s">
        <v>2554</v>
      </c>
      <c r="P3442" s="212">
        <f t="shared" ref="P3442:P3447" si="307">P3228</f>
        <v>50.9</v>
      </c>
      <c r="Q3442" s="215" t="s">
        <v>105</v>
      </c>
      <c r="R3442" s="212">
        <f t="shared" si="306"/>
        <v>203.6</v>
      </c>
    </row>
    <row r="3443" spans="6:18" ht="24" customHeight="1">
      <c r="M3443" s="212">
        <v>8</v>
      </c>
      <c r="N3443" s="363" t="s">
        <v>105</v>
      </c>
      <c r="O3443" s="214" t="s">
        <v>1326</v>
      </c>
      <c r="P3443" s="212">
        <f t="shared" si="307"/>
        <v>79.099999999999994</v>
      </c>
      <c r="Q3443" s="215" t="s">
        <v>105</v>
      </c>
      <c r="R3443" s="212">
        <f t="shared" si="306"/>
        <v>632.79999999999995</v>
      </c>
    </row>
    <row r="3444" spans="6:18" ht="24" customHeight="1">
      <c r="M3444" s="212">
        <v>4</v>
      </c>
      <c r="N3444" s="363" t="s">
        <v>105</v>
      </c>
      <c r="O3444" s="214" t="s">
        <v>2576</v>
      </c>
      <c r="P3444" s="212">
        <f t="shared" si="307"/>
        <v>86.3</v>
      </c>
      <c r="Q3444" s="215" t="s">
        <v>105</v>
      </c>
      <c r="R3444" s="212">
        <f t="shared" si="306"/>
        <v>345.2</v>
      </c>
    </row>
    <row r="3445" spans="6:18" ht="24" customHeight="1">
      <c r="M3445" s="212">
        <v>1</v>
      </c>
      <c r="N3445" s="363" t="s">
        <v>105</v>
      </c>
      <c r="O3445" s="214" t="s">
        <v>2577</v>
      </c>
      <c r="P3445" s="212">
        <f t="shared" si="307"/>
        <v>185.2</v>
      </c>
      <c r="Q3445" s="215" t="s">
        <v>105</v>
      </c>
      <c r="R3445" s="212">
        <f t="shared" si="306"/>
        <v>185.2</v>
      </c>
    </row>
    <row r="3446" spans="6:18" ht="24" customHeight="1">
      <c r="M3446" s="212">
        <v>2</v>
      </c>
      <c r="N3446" s="363" t="s">
        <v>105</v>
      </c>
      <c r="O3446" s="214" t="s">
        <v>2578</v>
      </c>
      <c r="P3446" s="212">
        <f t="shared" si="307"/>
        <v>22.7</v>
      </c>
      <c r="Q3446" s="215" t="s">
        <v>105</v>
      </c>
      <c r="R3446" s="212">
        <f t="shared" si="306"/>
        <v>45.4</v>
      </c>
    </row>
    <row r="3447" spans="6:18" ht="24" customHeight="1">
      <c r="M3447" s="212">
        <v>2</v>
      </c>
      <c r="N3447" s="363" t="s">
        <v>105</v>
      </c>
      <c r="O3447" s="214" t="s">
        <v>2579</v>
      </c>
      <c r="P3447" s="212">
        <f t="shared" si="307"/>
        <v>43.8</v>
      </c>
      <c r="Q3447" s="215" t="s">
        <v>105</v>
      </c>
      <c r="R3447" s="212">
        <f t="shared" si="306"/>
        <v>87.6</v>
      </c>
    </row>
    <row r="3448" spans="6:18" ht="24" customHeight="1">
      <c r="M3448" s="356">
        <v>118</v>
      </c>
      <c r="N3448" s="363" t="s">
        <v>105</v>
      </c>
      <c r="O3448" s="356" t="s">
        <v>2509</v>
      </c>
      <c r="P3448" s="356">
        <f>P3404</f>
        <v>2.37</v>
      </c>
      <c r="Q3448" s="215" t="s">
        <v>105</v>
      </c>
      <c r="R3448" s="212">
        <f t="shared" si="306"/>
        <v>279.66000000000003</v>
      </c>
    </row>
    <row r="3449" spans="6:18" ht="24" customHeight="1">
      <c r="M3449" s="356"/>
      <c r="N3449" s="357"/>
      <c r="O3449" s="356"/>
      <c r="P3449" s="356"/>
      <c r="Q3449" s="359"/>
      <c r="R3449" s="364" t="s">
        <v>48</v>
      </c>
    </row>
    <row r="3450" spans="6:18" ht="24" customHeight="1">
      <c r="F3450" s="77">
        <v>29.5</v>
      </c>
      <c r="G3450" s="38" t="s">
        <v>67</v>
      </c>
      <c r="H3450" s="26" t="s">
        <v>2652</v>
      </c>
      <c r="J3450" s="33"/>
      <c r="M3450" s="356"/>
      <c r="N3450" s="357"/>
      <c r="O3450" s="214" t="s">
        <v>2603</v>
      </c>
      <c r="P3450" s="356"/>
      <c r="Q3450" s="359"/>
      <c r="R3450" s="212">
        <f>SUM(R3435:R3449)</f>
        <v>13595.22867</v>
      </c>
    </row>
    <row r="3451" spans="6:18" ht="24" customHeight="1">
      <c r="H3451" s="26" t="s">
        <v>2653</v>
      </c>
      <c r="J3451" s="33"/>
      <c r="M3451" s="356"/>
      <c r="N3451" s="357"/>
      <c r="O3451" s="356"/>
      <c r="P3451" s="356"/>
      <c r="Q3451" s="359"/>
      <c r="R3451" s="364" t="s">
        <v>48</v>
      </c>
    </row>
    <row r="3452" spans="6:18" ht="24" customHeight="1">
      <c r="H3452" s="26" t="s">
        <v>1514</v>
      </c>
      <c r="J3452" s="33"/>
      <c r="M3452" s="356"/>
      <c r="N3452" s="357"/>
      <c r="O3452" s="370" t="s">
        <v>403</v>
      </c>
      <c r="P3452" s="356"/>
      <c r="Q3452" s="361" t="s">
        <v>2338</v>
      </c>
      <c r="R3452" s="371">
        <f>R3450/M3441</f>
        <v>5599.3528294892922</v>
      </c>
    </row>
    <row r="3453" spans="6:18" ht="24" customHeight="1">
      <c r="H3453" s="35" t="s">
        <v>48</v>
      </c>
      <c r="I3453" s="35" t="s">
        <v>48</v>
      </c>
      <c r="J3453" s="33"/>
      <c r="K3453" s="40"/>
    </row>
    <row r="3454" spans="6:18" ht="24" customHeight="1">
      <c r="F3454" s="40">
        <v>10</v>
      </c>
      <c r="G3454" s="38" t="s">
        <v>438</v>
      </c>
      <c r="H3454" s="30" t="s">
        <v>2654</v>
      </c>
      <c r="I3454" s="37">
        <v>412</v>
      </c>
      <c r="J3454" s="27" t="s">
        <v>438</v>
      </c>
      <c r="K3454" s="40">
        <f>F3454*I3454</f>
        <v>4120</v>
      </c>
    </row>
    <row r="3455" spans="6:18" ht="24" customHeight="1">
      <c r="F3455" s="40">
        <v>0.21</v>
      </c>
      <c r="G3455" s="38" t="s">
        <v>93</v>
      </c>
      <c r="H3455" s="26" t="s">
        <v>1488</v>
      </c>
      <c r="I3455" s="40">
        <f>K32</f>
        <v>5671.64</v>
      </c>
      <c r="J3455" s="27" t="s">
        <v>93</v>
      </c>
      <c r="K3455" s="40">
        <f>(F3455*I3455)</f>
        <v>1191.0444</v>
      </c>
    </row>
    <row r="3456" spans="6:18" ht="24" customHeight="1">
      <c r="H3456" s="26" t="s">
        <v>1492</v>
      </c>
      <c r="I3456" s="40"/>
      <c r="J3456" s="33"/>
      <c r="K3456" s="26" t="s">
        <v>27</v>
      </c>
      <c r="M3456" s="77">
        <v>29.5</v>
      </c>
      <c r="N3456" s="38" t="s">
        <v>67</v>
      </c>
      <c r="O3456" s="26" t="s">
        <v>2652</v>
      </c>
      <c r="Q3456" s="33"/>
    </row>
    <row r="3457" spans="6:18" ht="24" customHeight="1">
      <c r="F3457" s="40">
        <v>1.1000000000000001</v>
      </c>
      <c r="G3457" s="38" t="s">
        <v>196</v>
      </c>
      <c r="H3457" s="26" t="s">
        <v>298</v>
      </c>
      <c r="I3457" s="40">
        <f>C10</f>
        <v>1076.5999999999999</v>
      </c>
      <c r="J3457" s="27" t="s">
        <v>196</v>
      </c>
      <c r="K3457" s="40">
        <f>(F3457*I3457)</f>
        <v>1184.26</v>
      </c>
      <c r="N3457" s="29"/>
      <c r="O3457" s="26" t="s">
        <v>2653</v>
      </c>
      <c r="Q3457" s="33"/>
    </row>
    <row r="3458" spans="6:18" ht="24" customHeight="1">
      <c r="F3458" s="40">
        <v>1.1000000000000001</v>
      </c>
      <c r="G3458" s="38" t="s">
        <v>196</v>
      </c>
      <c r="H3458" s="26" t="s">
        <v>269</v>
      </c>
      <c r="I3458" s="40">
        <f>C11</f>
        <v>1005.1999999999999</v>
      </c>
      <c r="J3458" s="27" t="s">
        <v>196</v>
      </c>
      <c r="K3458" s="40">
        <f>(F3458*I3458)</f>
        <v>1105.72</v>
      </c>
      <c r="N3458" s="29"/>
      <c r="O3458" s="26" t="s">
        <v>1514</v>
      </c>
      <c r="Q3458" s="33"/>
    </row>
    <row r="3459" spans="6:18" ht="24" customHeight="1">
      <c r="F3459" s="40">
        <v>2.2000000000000002</v>
      </c>
      <c r="G3459" s="38" t="s">
        <v>196</v>
      </c>
      <c r="H3459" s="26" t="s">
        <v>271</v>
      </c>
      <c r="I3459" s="40">
        <f>C12</f>
        <v>702.8</v>
      </c>
      <c r="J3459" s="27" t="s">
        <v>196</v>
      </c>
      <c r="K3459" s="40">
        <f>(F3459*I3459)</f>
        <v>1546.16</v>
      </c>
      <c r="N3459" s="29"/>
      <c r="O3459" s="35" t="s">
        <v>48</v>
      </c>
      <c r="P3459" s="35" t="s">
        <v>48</v>
      </c>
      <c r="Q3459" s="33"/>
      <c r="R3459" s="40"/>
    </row>
    <row r="3460" spans="6:18" ht="24" customHeight="1">
      <c r="F3460" s="40">
        <v>2.2000000000000002</v>
      </c>
      <c r="G3460" s="38" t="s">
        <v>196</v>
      </c>
      <c r="H3460" s="26" t="s">
        <v>276</v>
      </c>
      <c r="I3460" s="40">
        <f>C13</f>
        <v>576.79999999999995</v>
      </c>
      <c r="J3460" s="27" t="s">
        <v>196</v>
      </c>
      <c r="K3460" s="40">
        <f>(F3460*I3460)</f>
        <v>1268.96</v>
      </c>
      <c r="M3460" s="40">
        <v>10</v>
      </c>
      <c r="N3460" s="38" t="s">
        <v>438</v>
      </c>
      <c r="O3460" s="30" t="s">
        <v>2654</v>
      </c>
      <c r="P3460" s="464">
        <f>I3454</f>
        <v>412</v>
      </c>
      <c r="Q3460" s="27" t="s">
        <v>438</v>
      </c>
      <c r="R3460" s="40">
        <f>P3460*M3460</f>
        <v>4120</v>
      </c>
    </row>
    <row r="3461" spans="6:18" ht="24" customHeight="1">
      <c r="F3461" s="76">
        <v>20</v>
      </c>
      <c r="G3461" s="38" t="s">
        <v>392</v>
      </c>
      <c r="H3461" s="26" t="s">
        <v>85</v>
      </c>
      <c r="I3461" s="40">
        <f>AE31</f>
        <v>5800</v>
      </c>
      <c r="J3461" s="27" t="s">
        <v>84</v>
      </c>
      <c r="K3461" s="40">
        <f>(F3461*I3461)/1000</f>
        <v>116</v>
      </c>
      <c r="M3461" s="40">
        <v>0.21</v>
      </c>
      <c r="N3461" s="38" t="s">
        <v>93</v>
      </c>
      <c r="O3461" s="26" t="s">
        <v>1488</v>
      </c>
      <c r="P3461" s="465">
        <f t="shared" ref="P3461:P3471" si="308">I3455</f>
        <v>5671.64</v>
      </c>
      <c r="Q3461" s="27" t="s">
        <v>93</v>
      </c>
      <c r="R3461" s="40">
        <f t="shared" ref="R3461:R3471" si="309">P3461*M3461</f>
        <v>1191.0444</v>
      </c>
    </row>
    <row r="3462" spans="6:18" ht="24" customHeight="1">
      <c r="F3462" s="76">
        <v>2</v>
      </c>
      <c r="G3462" s="38" t="s">
        <v>392</v>
      </c>
      <c r="H3462" s="26" t="s">
        <v>1496</v>
      </c>
      <c r="I3462" s="40">
        <f>I1256</f>
        <v>36.1</v>
      </c>
      <c r="J3462" s="27" t="s">
        <v>392</v>
      </c>
      <c r="K3462" s="40">
        <f>(F3462*I3462)</f>
        <v>72.2</v>
      </c>
      <c r="N3462" s="29"/>
      <c r="O3462" s="26" t="s">
        <v>1492</v>
      </c>
      <c r="P3462" s="465">
        <f t="shared" si="308"/>
        <v>0</v>
      </c>
      <c r="Q3462" s="33"/>
      <c r="R3462" s="40">
        <f t="shared" si="309"/>
        <v>0</v>
      </c>
    </row>
    <row r="3463" spans="6:18" ht="24" customHeight="1">
      <c r="F3463" s="40">
        <v>1.6</v>
      </c>
      <c r="G3463" s="38" t="s">
        <v>196</v>
      </c>
      <c r="H3463" s="26" t="s">
        <v>269</v>
      </c>
      <c r="I3463" s="40">
        <f>I3458</f>
        <v>1005.1999999999999</v>
      </c>
      <c r="J3463" s="27" t="s">
        <v>196</v>
      </c>
      <c r="K3463" s="40">
        <f>(F3463*I3463)</f>
        <v>1608.32</v>
      </c>
      <c r="M3463" s="40">
        <v>1.1000000000000001</v>
      </c>
      <c r="N3463" s="38" t="s">
        <v>196</v>
      </c>
      <c r="O3463" s="26" t="s">
        <v>298</v>
      </c>
      <c r="P3463" s="465">
        <f t="shared" si="308"/>
        <v>1076.5999999999999</v>
      </c>
      <c r="Q3463" s="27" t="s">
        <v>196</v>
      </c>
      <c r="R3463" s="40">
        <f t="shared" si="309"/>
        <v>1184.26</v>
      </c>
    </row>
    <row r="3464" spans="6:18" ht="24" customHeight="1">
      <c r="F3464" s="40">
        <v>0.5</v>
      </c>
      <c r="G3464" s="38" t="s">
        <v>196</v>
      </c>
      <c r="H3464" s="26" t="s">
        <v>271</v>
      </c>
      <c r="I3464" s="40">
        <f>I3459</f>
        <v>702.8</v>
      </c>
      <c r="J3464" s="27" t="s">
        <v>196</v>
      </c>
      <c r="K3464" s="40">
        <f>(F3464*I3464)</f>
        <v>351.4</v>
      </c>
      <c r="M3464" s="40">
        <v>1.1000000000000001</v>
      </c>
      <c r="N3464" s="38" t="s">
        <v>196</v>
      </c>
      <c r="O3464" s="26" t="s">
        <v>269</v>
      </c>
      <c r="P3464" s="465">
        <f t="shared" si="308"/>
        <v>1005.1999999999999</v>
      </c>
      <c r="Q3464" s="27" t="s">
        <v>196</v>
      </c>
      <c r="R3464" s="40">
        <f t="shared" si="309"/>
        <v>1105.72</v>
      </c>
    </row>
    <row r="3465" spans="6:18" ht="24" customHeight="1">
      <c r="F3465" s="40">
        <v>1.1000000000000001</v>
      </c>
      <c r="G3465" s="38" t="s">
        <v>196</v>
      </c>
      <c r="H3465" s="26" t="s">
        <v>276</v>
      </c>
      <c r="I3465" s="40">
        <f>I3460</f>
        <v>576.79999999999995</v>
      </c>
      <c r="J3465" s="27" t="s">
        <v>196</v>
      </c>
      <c r="K3465" s="40">
        <f>(F3465*I3465)</f>
        <v>634.48</v>
      </c>
      <c r="M3465" s="40">
        <v>2.2000000000000002</v>
      </c>
      <c r="N3465" s="38" t="s">
        <v>196</v>
      </c>
      <c r="O3465" s="26" t="s">
        <v>271</v>
      </c>
      <c r="P3465" s="465">
        <f t="shared" si="308"/>
        <v>702.8</v>
      </c>
      <c r="Q3465" s="27" t="s">
        <v>196</v>
      </c>
      <c r="R3465" s="40">
        <f t="shared" si="309"/>
        <v>1546.16</v>
      </c>
    </row>
    <row r="3466" spans="6:18" ht="24" customHeight="1">
      <c r="G3466" s="38" t="s">
        <v>106</v>
      </c>
      <c r="H3466" s="26" t="s">
        <v>107</v>
      </c>
      <c r="I3466" s="40">
        <f>I1262</f>
        <v>0</v>
      </c>
      <c r="J3466" s="27" t="s">
        <v>106</v>
      </c>
      <c r="K3466" s="40">
        <v>0</v>
      </c>
      <c r="M3466" s="40">
        <v>2.2000000000000002</v>
      </c>
      <c r="N3466" s="38" t="s">
        <v>196</v>
      </c>
      <c r="O3466" s="26" t="s">
        <v>276</v>
      </c>
      <c r="P3466" s="465">
        <f t="shared" si="308"/>
        <v>576.79999999999995</v>
      </c>
      <c r="Q3466" s="27" t="s">
        <v>196</v>
      </c>
      <c r="R3466" s="40">
        <f t="shared" si="309"/>
        <v>1268.96</v>
      </c>
    </row>
    <row r="3467" spans="6:18" ht="24" customHeight="1">
      <c r="J3467" s="33"/>
      <c r="K3467" s="35" t="s">
        <v>48</v>
      </c>
      <c r="M3467" s="76">
        <v>20</v>
      </c>
      <c r="N3467" s="38" t="s">
        <v>392</v>
      </c>
      <c r="O3467" s="26" t="s">
        <v>85</v>
      </c>
      <c r="P3467" s="465">
        <f t="shared" si="308"/>
        <v>5800</v>
      </c>
      <c r="Q3467" s="27" t="s">
        <v>84</v>
      </c>
      <c r="R3467" s="40">
        <f>P3467*M3467/1000</f>
        <v>116</v>
      </c>
    </row>
    <row r="3468" spans="6:18" ht="24" customHeight="1">
      <c r="H3468" s="26" t="s">
        <v>401</v>
      </c>
      <c r="J3468" s="33"/>
      <c r="K3468" s="40">
        <f>SUM(K3454:K3466)</f>
        <v>13198.544400000001</v>
      </c>
      <c r="M3468" s="76">
        <v>2</v>
      </c>
      <c r="N3468" s="38" t="s">
        <v>392</v>
      </c>
      <c r="O3468" s="26" t="s">
        <v>2655</v>
      </c>
      <c r="P3468" s="465">
        <f>I3644</f>
        <v>24.5</v>
      </c>
      <c r="Q3468" s="27" t="s">
        <v>392</v>
      </c>
      <c r="R3468" s="40">
        <f t="shared" si="309"/>
        <v>49</v>
      </c>
    </row>
    <row r="3469" spans="6:18" ht="24" customHeight="1">
      <c r="J3469" s="33"/>
      <c r="K3469" s="35" t="s">
        <v>48</v>
      </c>
      <c r="M3469" s="40">
        <v>1.6</v>
      </c>
      <c r="N3469" s="38" t="s">
        <v>196</v>
      </c>
      <c r="O3469" s="26" t="s">
        <v>269</v>
      </c>
      <c r="P3469" s="465">
        <f t="shared" si="308"/>
        <v>1005.1999999999999</v>
      </c>
      <c r="Q3469" s="27" t="s">
        <v>196</v>
      </c>
      <c r="R3469" s="40">
        <f t="shared" si="309"/>
        <v>1608.32</v>
      </c>
    </row>
    <row r="3470" spans="6:18" ht="24" customHeight="1">
      <c r="H3470" s="26" t="s">
        <v>403</v>
      </c>
      <c r="J3470" s="33"/>
      <c r="K3470" s="39">
        <f>(K3468/10)</f>
        <v>1319.8544400000001</v>
      </c>
      <c r="M3470" s="40">
        <v>0.5</v>
      </c>
      <c r="N3470" s="38" t="s">
        <v>196</v>
      </c>
      <c r="O3470" s="26" t="s">
        <v>271</v>
      </c>
      <c r="P3470" s="465">
        <f t="shared" si="308"/>
        <v>702.8</v>
      </c>
      <c r="Q3470" s="27" t="s">
        <v>196</v>
      </c>
      <c r="R3470" s="40">
        <f t="shared" si="309"/>
        <v>351.4</v>
      </c>
    </row>
    <row r="3471" spans="6:18" ht="24" customHeight="1">
      <c r="J3471" s="33"/>
      <c r="K3471" s="35" t="s">
        <v>41</v>
      </c>
      <c r="M3471" s="40">
        <v>1.1000000000000001</v>
      </c>
      <c r="N3471" s="38" t="s">
        <v>196</v>
      </c>
      <c r="O3471" s="26" t="s">
        <v>276</v>
      </c>
      <c r="P3471" s="465">
        <f t="shared" si="308"/>
        <v>576.79999999999995</v>
      </c>
      <c r="Q3471" s="27" t="s">
        <v>196</v>
      </c>
      <c r="R3471" s="40">
        <f t="shared" si="309"/>
        <v>634.48</v>
      </c>
    </row>
    <row r="3472" spans="6:18" ht="24" customHeight="1">
      <c r="N3472" s="38" t="s">
        <v>106</v>
      </c>
      <c r="O3472" s="26" t="s">
        <v>107</v>
      </c>
      <c r="P3472" s="40">
        <v>0</v>
      </c>
      <c r="Q3472" s="27" t="s">
        <v>106</v>
      </c>
      <c r="R3472" s="40">
        <v>0</v>
      </c>
    </row>
    <row r="3473" spans="6:19" ht="24" customHeight="1">
      <c r="N3473" s="29"/>
      <c r="Q3473" s="33"/>
      <c r="R3473" s="35" t="s">
        <v>48</v>
      </c>
    </row>
    <row r="3474" spans="6:19" ht="24" customHeight="1">
      <c r="N3474" s="29"/>
      <c r="O3474" s="26" t="s">
        <v>401</v>
      </c>
      <c r="Q3474" s="33"/>
      <c r="R3474" s="40">
        <f>SUM(R3460:R3473)</f>
        <v>13175.3444</v>
      </c>
    </row>
    <row r="3475" spans="6:19" ht="24" customHeight="1">
      <c r="N3475" s="29"/>
      <c r="Q3475" s="33"/>
      <c r="R3475" s="35" t="s">
        <v>48</v>
      </c>
    </row>
    <row r="3476" spans="6:19" ht="57.75" customHeight="1">
      <c r="G3476" s="466">
        <v>90</v>
      </c>
      <c r="H3476" s="467" t="s">
        <v>2656</v>
      </c>
      <c r="N3476" s="29"/>
      <c r="O3476" s="26" t="s">
        <v>403</v>
      </c>
      <c r="Q3476" s="33"/>
      <c r="R3476" s="39">
        <f>R3474/10</f>
        <v>1317.5344399999999</v>
      </c>
    </row>
    <row r="3477" spans="6:19" ht="24" customHeight="1">
      <c r="F3477" s="127">
        <v>3.8100000000000002E-2</v>
      </c>
      <c r="G3477" s="171" t="s">
        <v>93</v>
      </c>
      <c r="H3477" s="139" t="s">
        <v>2657</v>
      </c>
      <c r="I3477" s="28">
        <f>I3387</f>
        <v>111600</v>
      </c>
      <c r="J3477" s="28">
        <f>J2279</f>
        <v>0</v>
      </c>
      <c r="K3477" s="28">
        <f>F3477*I3477</f>
        <v>4251.96</v>
      </c>
      <c r="N3477" s="29"/>
      <c r="Q3477" s="33"/>
      <c r="R3477" s="35" t="s">
        <v>41</v>
      </c>
    </row>
    <row r="3478" spans="6:19" ht="24" customHeight="1">
      <c r="F3478" s="32">
        <v>2.4E-2</v>
      </c>
      <c r="G3478" s="171" t="s">
        <v>93</v>
      </c>
      <c r="H3478" s="139" t="s">
        <v>2586</v>
      </c>
      <c r="I3478" s="28">
        <f>I3388</f>
        <v>99400</v>
      </c>
      <c r="J3478" s="28">
        <f>J2280</f>
        <v>0</v>
      </c>
      <c r="K3478" s="28">
        <f t="shared" ref="K3478:K3491" si="310">F3478*I3478</f>
        <v>2385.6</v>
      </c>
    </row>
    <row r="3479" spans="6:19" ht="24" customHeight="1">
      <c r="F3479" s="28">
        <v>0.01</v>
      </c>
      <c r="G3479" s="171" t="s">
        <v>93</v>
      </c>
      <c r="H3479" s="26" t="s">
        <v>1331</v>
      </c>
      <c r="I3479" s="28">
        <f>I2815</f>
        <v>95000</v>
      </c>
      <c r="J3479" s="28">
        <f>J2281</f>
        <v>0</v>
      </c>
      <c r="K3479" s="28">
        <f t="shared" si="310"/>
        <v>950</v>
      </c>
    </row>
    <row r="3480" spans="6:19" ht="24" customHeight="1">
      <c r="H3480" s="26" t="s">
        <v>1333</v>
      </c>
    </row>
    <row r="3481" spans="6:19" ht="24" customHeight="1">
      <c r="F3481" s="28">
        <v>1.05</v>
      </c>
      <c r="G3481" s="38" t="s">
        <v>438</v>
      </c>
      <c r="H3481" s="135" t="s">
        <v>2658</v>
      </c>
      <c r="I3481" s="105">
        <v>355.5</v>
      </c>
      <c r="J3481" s="31" t="s">
        <v>438</v>
      </c>
      <c r="K3481" s="28">
        <f t="shared" si="310"/>
        <v>373.27500000000003</v>
      </c>
    </row>
    <row r="3482" spans="6:19" ht="24" customHeight="1">
      <c r="F3482" s="28">
        <v>12</v>
      </c>
      <c r="G3482" s="38" t="s">
        <v>1840</v>
      </c>
      <c r="H3482" s="28" t="s">
        <v>2659</v>
      </c>
      <c r="I3482" s="28">
        <f>I2537</f>
        <v>54.5</v>
      </c>
      <c r="J3482" s="31" t="s">
        <v>1840</v>
      </c>
      <c r="K3482" s="28">
        <f t="shared" si="310"/>
        <v>654</v>
      </c>
      <c r="S3482" s="456" t="s">
        <v>2660</v>
      </c>
    </row>
    <row r="3483" spans="6:19" ht="24" customHeight="1">
      <c r="F3483" s="28">
        <v>2.85</v>
      </c>
      <c r="G3483" s="38" t="s">
        <v>438</v>
      </c>
      <c r="H3483" s="28" t="s">
        <v>2661</v>
      </c>
      <c r="I3483" s="28">
        <f>D31</f>
        <v>1509.1999999999998</v>
      </c>
      <c r="J3483" s="31" t="s">
        <v>438</v>
      </c>
      <c r="K3483" s="28">
        <f t="shared" si="310"/>
        <v>4301.2199999999993</v>
      </c>
    </row>
    <row r="3484" spans="6:19" ht="24" customHeight="1">
      <c r="F3484" s="28">
        <v>6</v>
      </c>
      <c r="G3484" s="38" t="s">
        <v>1130</v>
      </c>
      <c r="H3484" s="26" t="s">
        <v>1326</v>
      </c>
      <c r="I3484" s="28">
        <f>I2819</f>
        <v>110.17</v>
      </c>
      <c r="J3484" s="31" t="s">
        <v>196</v>
      </c>
      <c r="K3484" s="28">
        <f t="shared" si="310"/>
        <v>661.02</v>
      </c>
    </row>
    <row r="3485" spans="6:19" ht="24" customHeight="1">
      <c r="F3485" s="28">
        <v>1</v>
      </c>
      <c r="G3485" s="38" t="s">
        <v>1130</v>
      </c>
      <c r="H3485" s="28" t="s">
        <v>2662</v>
      </c>
      <c r="I3485" s="28">
        <f>I2821</f>
        <v>550</v>
      </c>
      <c r="J3485" s="31" t="s">
        <v>196</v>
      </c>
      <c r="K3485" s="28">
        <f t="shared" si="310"/>
        <v>550</v>
      </c>
    </row>
    <row r="3486" spans="6:19" ht="24" customHeight="1">
      <c r="F3486" s="28">
        <v>3</v>
      </c>
      <c r="G3486" s="38" t="s">
        <v>1130</v>
      </c>
      <c r="H3486" s="26" t="s">
        <v>1328</v>
      </c>
      <c r="I3486" s="28">
        <f>I2820</f>
        <v>160</v>
      </c>
      <c r="J3486" s="31" t="s">
        <v>196</v>
      </c>
      <c r="K3486" s="28">
        <f t="shared" si="310"/>
        <v>480</v>
      </c>
    </row>
    <row r="3487" spans="6:19" ht="24" customHeight="1">
      <c r="F3487" s="28">
        <v>2</v>
      </c>
      <c r="G3487" s="38" t="s">
        <v>1130</v>
      </c>
      <c r="H3487" s="26" t="s">
        <v>2663</v>
      </c>
      <c r="I3487" s="28">
        <f>I2820</f>
        <v>160</v>
      </c>
      <c r="J3487" s="31" t="s">
        <v>196</v>
      </c>
      <c r="K3487" s="28">
        <f t="shared" si="310"/>
        <v>320</v>
      </c>
    </row>
    <row r="3488" spans="6:19" ht="24" customHeight="1">
      <c r="F3488" s="28">
        <v>2</v>
      </c>
      <c r="G3488" s="38" t="s">
        <v>1130</v>
      </c>
      <c r="H3488" s="26" t="s">
        <v>463</v>
      </c>
      <c r="I3488" s="28">
        <f>I2823</f>
        <v>43.8</v>
      </c>
      <c r="J3488" s="31" t="s">
        <v>196</v>
      </c>
      <c r="K3488" s="28">
        <f t="shared" si="310"/>
        <v>87.6</v>
      </c>
    </row>
    <row r="3489" spans="6:15" ht="24" customHeight="1">
      <c r="F3489" s="28">
        <v>2</v>
      </c>
      <c r="G3489" s="38" t="s">
        <v>1130</v>
      </c>
      <c r="H3489" s="26" t="s">
        <v>1332</v>
      </c>
      <c r="I3489" s="28">
        <f>I2822</f>
        <v>7.3</v>
      </c>
      <c r="J3489" s="31" t="s">
        <v>196</v>
      </c>
      <c r="K3489" s="28">
        <f t="shared" si="310"/>
        <v>14.6</v>
      </c>
    </row>
    <row r="3490" spans="6:15" ht="24" customHeight="1">
      <c r="F3490" s="28">
        <v>1.05</v>
      </c>
      <c r="G3490" s="38" t="s">
        <v>438</v>
      </c>
      <c r="H3490" s="26" t="s">
        <v>2664</v>
      </c>
      <c r="I3490" s="28">
        <f>K1553</f>
        <v>144.41040000000001</v>
      </c>
      <c r="J3490" s="31" t="s">
        <v>438</v>
      </c>
      <c r="K3490" s="28">
        <f t="shared" si="310"/>
        <v>151.63092</v>
      </c>
    </row>
    <row r="3491" spans="6:15" ht="24" customHeight="1">
      <c r="F3491" s="468">
        <v>3.15</v>
      </c>
      <c r="G3491" s="38" t="s">
        <v>438</v>
      </c>
      <c r="H3491" s="26" t="s">
        <v>2665</v>
      </c>
      <c r="I3491" s="28">
        <f>K1167</f>
        <v>206.33800000000002</v>
      </c>
      <c r="J3491" s="31" t="s">
        <v>438</v>
      </c>
      <c r="K3491" s="28">
        <f t="shared" si="310"/>
        <v>649.96470000000011</v>
      </c>
    </row>
    <row r="3492" spans="6:15" ht="24" customHeight="1">
      <c r="G3492" s="38"/>
      <c r="H3492" s="26" t="s">
        <v>2666</v>
      </c>
      <c r="I3492" s="727" t="s">
        <v>106</v>
      </c>
      <c r="J3492" s="727"/>
      <c r="K3492" s="28">
        <f>R3199</f>
        <v>279.66000000000003</v>
      </c>
    </row>
    <row r="3493" spans="6:15" ht="24" customHeight="1">
      <c r="K3493" s="469" t="s">
        <v>41</v>
      </c>
    </row>
    <row r="3494" spans="6:15" ht="24" customHeight="1">
      <c r="H3494" s="30" t="s">
        <v>2667</v>
      </c>
      <c r="I3494" s="41"/>
      <c r="J3494" s="86"/>
      <c r="K3494" s="41">
        <f>SUM(K3477:K3493)</f>
        <v>16110.53062</v>
      </c>
    </row>
    <row r="3495" spans="6:15" ht="24" customHeight="1">
      <c r="K3495" s="469" t="s">
        <v>41</v>
      </c>
    </row>
    <row r="3497" spans="6:15" ht="24" customHeight="1">
      <c r="J3497" s="33"/>
    </row>
    <row r="3498" spans="6:15" ht="24" customHeight="1">
      <c r="G3498" s="31" t="s">
        <v>2668</v>
      </c>
      <c r="J3498" s="33"/>
    </row>
    <row r="3499" spans="6:15" ht="24" customHeight="1">
      <c r="J3499" s="33"/>
    </row>
    <row r="3500" spans="6:15" ht="24" customHeight="1">
      <c r="F3500" s="127">
        <v>1.8</v>
      </c>
      <c r="G3500" s="29" t="s">
        <v>93</v>
      </c>
      <c r="H3500" s="28" t="s">
        <v>2669</v>
      </c>
      <c r="I3500" s="28">
        <v>451.25</v>
      </c>
      <c r="J3500" s="33" t="s">
        <v>93</v>
      </c>
      <c r="K3500" s="117">
        <f>I3500*F3500</f>
        <v>812.25</v>
      </c>
    </row>
    <row r="3501" spans="6:15" ht="24" customHeight="1">
      <c r="J3501" s="33"/>
      <c r="K3501" s="117"/>
    </row>
    <row r="3502" spans="6:15" ht="24" customHeight="1">
      <c r="F3502" s="127">
        <v>1.2</v>
      </c>
      <c r="G3502" s="29" t="s">
        <v>93</v>
      </c>
      <c r="H3502" s="28" t="s">
        <v>2670</v>
      </c>
      <c r="I3502" s="28">
        <v>842.15</v>
      </c>
      <c r="J3502" s="33" t="s">
        <v>93</v>
      </c>
      <c r="K3502" s="117">
        <f t="shared" ref="K3502:K3510" si="311">I3502*F3502</f>
        <v>1010.5799999999999</v>
      </c>
    </row>
    <row r="3503" spans="6:15" ht="24" customHeight="1">
      <c r="J3503" s="33"/>
      <c r="K3503" s="117"/>
    </row>
    <row r="3504" spans="6:15" ht="24" customHeight="1">
      <c r="F3504" s="127">
        <v>0.6</v>
      </c>
      <c r="G3504" s="29" t="s">
        <v>93</v>
      </c>
      <c r="H3504" s="28" t="s">
        <v>2671</v>
      </c>
      <c r="I3504" s="28">
        <f>AE16</f>
        <v>2765.84</v>
      </c>
      <c r="J3504" s="33" t="s">
        <v>93</v>
      </c>
      <c r="K3504" s="117">
        <f t="shared" si="311"/>
        <v>1659.5040000000001</v>
      </c>
      <c r="O3504" s="41" t="s">
        <v>2672</v>
      </c>
    </row>
    <row r="3505" spans="6:18" ht="24" customHeight="1">
      <c r="J3505" s="33"/>
      <c r="K3505" s="117"/>
    </row>
    <row r="3506" spans="6:18" ht="24" customHeight="1">
      <c r="F3506" s="127">
        <v>3</v>
      </c>
      <c r="G3506" s="29" t="s">
        <v>93</v>
      </c>
      <c r="H3506" s="28" t="s">
        <v>2673</v>
      </c>
      <c r="I3506" s="28">
        <f>R3519</f>
        <v>2238.1799999999998</v>
      </c>
      <c r="J3506" s="33" t="s">
        <v>93</v>
      </c>
      <c r="K3506" s="117">
        <f t="shared" si="311"/>
        <v>6714.5399999999991</v>
      </c>
    </row>
    <row r="3507" spans="6:18" ht="24" customHeight="1">
      <c r="F3507" s="127"/>
      <c r="J3507" s="33"/>
      <c r="K3507" s="117"/>
      <c r="M3507" s="28">
        <f>(1.08/8)</f>
        <v>0.13500000000000001</v>
      </c>
      <c r="N3507" s="28" t="s">
        <v>93</v>
      </c>
      <c r="O3507" s="28" t="s">
        <v>271</v>
      </c>
      <c r="P3507" s="28">
        <f>P3515</f>
        <v>702.8</v>
      </c>
      <c r="Q3507" s="28" t="s">
        <v>93</v>
      </c>
      <c r="R3507" s="28">
        <f>P3507*M3507</f>
        <v>94.878</v>
      </c>
    </row>
    <row r="3508" spans="6:18" ht="24" customHeight="1">
      <c r="F3508" s="127">
        <v>3</v>
      </c>
      <c r="G3508" s="29" t="s">
        <v>93</v>
      </c>
      <c r="H3508" s="28" t="s">
        <v>2674</v>
      </c>
      <c r="I3508" s="28">
        <f>R3521</f>
        <v>20.27</v>
      </c>
      <c r="J3508" s="33" t="s">
        <v>93</v>
      </c>
      <c r="K3508" s="117">
        <f t="shared" si="311"/>
        <v>60.81</v>
      </c>
    </row>
    <row r="3509" spans="6:18" ht="24" customHeight="1">
      <c r="F3509" s="127"/>
      <c r="J3509" s="33"/>
      <c r="K3509" s="117"/>
      <c r="O3509" s="117" t="s">
        <v>2675</v>
      </c>
      <c r="R3509" s="28">
        <f>R3507</f>
        <v>94.878</v>
      </c>
    </row>
    <row r="3510" spans="6:18" ht="24" customHeight="1">
      <c r="F3510" s="127">
        <v>3</v>
      </c>
      <c r="G3510" s="29" t="s">
        <v>93</v>
      </c>
      <c r="H3510" s="28" t="s">
        <v>2676</v>
      </c>
      <c r="I3510" s="28">
        <v>31.65</v>
      </c>
      <c r="J3510" s="33" t="s">
        <v>93</v>
      </c>
      <c r="K3510" s="117">
        <f t="shared" si="311"/>
        <v>94.949999999999989</v>
      </c>
      <c r="O3510" s="117" t="s">
        <v>2677</v>
      </c>
      <c r="R3510" s="28">
        <f>R3509/0.75</f>
        <v>126.504</v>
      </c>
    </row>
    <row r="3511" spans="6:18" ht="24" customHeight="1">
      <c r="J3511" s="33"/>
      <c r="K3511" s="117"/>
    </row>
    <row r="3512" spans="6:18" ht="24" customHeight="1">
      <c r="H3512" s="28" t="s">
        <v>2678</v>
      </c>
      <c r="J3512" s="33" t="s">
        <v>106</v>
      </c>
      <c r="K3512" s="117">
        <v>0.3</v>
      </c>
      <c r="O3512" s="41" t="s">
        <v>2679</v>
      </c>
    </row>
    <row r="3513" spans="6:18" ht="24" customHeight="1">
      <c r="J3513" s="33"/>
      <c r="K3513" s="117"/>
    </row>
    <row r="3514" spans="6:18" ht="24" customHeight="1">
      <c r="H3514" s="117" t="s">
        <v>2680</v>
      </c>
      <c r="J3514" s="33"/>
      <c r="K3514" s="218">
        <f>SUM(K3500:K3513)</f>
        <v>10352.933999999999</v>
      </c>
      <c r="M3514" s="28">
        <v>1.8</v>
      </c>
      <c r="N3514" s="28" t="s">
        <v>969</v>
      </c>
      <c r="O3514" s="28" t="s">
        <v>2681</v>
      </c>
      <c r="P3514" s="28">
        <f>AG10</f>
        <v>1005.1999999999999</v>
      </c>
      <c r="Q3514" s="28" t="s">
        <v>793</v>
      </c>
      <c r="R3514" s="28">
        <f>P3514*M3514</f>
        <v>1809.36</v>
      </c>
    </row>
    <row r="3515" spans="6:18" ht="24" customHeight="1">
      <c r="H3515" s="117" t="s">
        <v>2682</v>
      </c>
      <c r="J3515" s="33"/>
      <c r="K3515" s="41">
        <f>K3514/F3506</f>
        <v>3450.9779999999996</v>
      </c>
      <c r="M3515" s="28">
        <v>17.7</v>
      </c>
      <c r="N3515" s="28" t="s">
        <v>969</v>
      </c>
      <c r="O3515" s="28" t="s">
        <v>2683</v>
      </c>
      <c r="P3515" s="28">
        <f>AG11</f>
        <v>702.8</v>
      </c>
      <c r="Q3515" s="28" t="s">
        <v>793</v>
      </c>
      <c r="R3515" s="28">
        <f>P3515*M3515</f>
        <v>12439.56</v>
      </c>
    </row>
    <row r="3516" spans="6:18" ht="24" customHeight="1">
      <c r="J3516" s="33"/>
      <c r="K3516" s="469" t="s">
        <v>41</v>
      </c>
      <c r="M3516" s="28">
        <v>14.1</v>
      </c>
      <c r="N3516" s="28" t="s">
        <v>969</v>
      </c>
      <c r="O3516" s="28" t="s">
        <v>2684</v>
      </c>
      <c r="P3516" s="28">
        <f>AG12</f>
        <v>576.79999999999995</v>
      </c>
      <c r="Q3516" s="28" t="s">
        <v>793</v>
      </c>
      <c r="R3516" s="28">
        <f>P3516*M3516</f>
        <v>8132.8799999999992</v>
      </c>
    </row>
    <row r="3518" spans="6:18" ht="24" customHeight="1">
      <c r="O3518" s="117" t="s">
        <v>2685</v>
      </c>
      <c r="R3518" s="28">
        <f>SUM(R3514:R3517)</f>
        <v>22381.8</v>
      </c>
    </row>
    <row r="3519" spans="6:18" ht="24" customHeight="1">
      <c r="O3519" s="117" t="s">
        <v>2677</v>
      </c>
      <c r="R3519" s="28">
        <f>R3518/10</f>
        <v>2238.1799999999998</v>
      </c>
    </row>
    <row r="3520" spans="6:18" ht="24" customHeight="1">
      <c r="F3520" s="470"/>
      <c r="G3520" s="471"/>
      <c r="H3520" s="470" t="s">
        <v>2686</v>
      </c>
      <c r="I3520" s="470"/>
      <c r="J3520" s="472"/>
      <c r="O3520" s="117"/>
    </row>
    <row r="3521" spans="6:34" ht="24" customHeight="1">
      <c r="H3521" s="223" t="s">
        <v>2687</v>
      </c>
      <c r="I3521" s="470">
        <v>2.56</v>
      </c>
      <c r="O3521" s="41" t="s">
        <v>2688</v>
      </c>
      <c r="R3521" s="41">
        <v>20.27</v>
      </c>
    </row>
    <row r="3522" spans="6:34" ht="24" customHeight="1">
      <c r="F3522" s="470">
        <f>I3521</f>
        <v>2.56</v>
      </c>
      <c r="G3522" s="471" t="s">
        <v>438</v>
      </c>
      <c r="H3522" s="470" t="s">
        <v>2689</v>
      </c>
      <c r="I3522" s="473">
        <v>2211</v>
      </c>
      <c r="J3522" s="471" t="s">
        <v>438</v>
      </c>
      <c r="K3522" s="470">
        <f>I3522*F3522</f>
        <v>5660.16</v>
      </c>
    </row>
    <row r="3523" spans="6:34" ht="24" customHeight="1">
      <c r="F3523" s="470">
        <f>F3522</f>
        <v>2.56</v>
      </c>
      <c r="G3523" s="471" t="s">
        <v>438</v>
      </c>
      <c r="H3523" s="470" t="s">
        <v>2690</v>
      </c>
      <c r="I3523" s="473">
        <v>248</v>
      </c>
      <c r="J3523" s="471" t="s">
        <v>438</v>
      </c>
      <c r="K3523" s="470">
        <f t="shared" ref="K3523:K3531" si="312">I3523*F3523</f>
        <v>634.88</v>
      </c>
    </row>
    <row r="3524" spans="6:34" ht="24" customHeight="1">
      <c r="F3524" s="470">
        <v>4</v>
      </c>
      <c r="G3524" s="471" t="s">
        <v>196</v>
      </c>
      <c r="H3524" s="470" t="s">
        <v>2691</v>
      </c>
      <c r="I3524" s="470">
        <f>P3228</f>
        <v>50.9</v>
      </c>
      <c r="J3524" s="471" t="s">
        <v>196</v>
      </c>
      <c r="K3524" s="470">
        <f t="shared" si="312"/>
        <v>203.6</v>
      </c>
      <c r="M3524" s="470"/>
      <c r="N3524" s="471"/>
      <c r="O3524" s="474" t="s">
        <v>2692</v>
      </c>
      <c r="P3524" s="470"/>
      <c r="Q3524" s="472"/>
    </row>
    <row r="3525" spans="6:34" ht="24" customHeight="1">
      <c r="F3525" s="470">
        <v>10</v>
      </c>
      <c r="G3525" s="471" t="s">
        <v>196</v>
      </c>
      <c r="H3525" s="470" t="s">
        <v>2693</v>
      </c>
      <c r="I3525" s="470">
        <f>P3229</f>
        <v>79.099999999999994</v>
      </c>
      <c r="J3525" s="471" t="s">
        <v>196</v>
      </c>
      <c r="K3525" s="470">
        <f t="shared" si="312"/>
        <v>791</v>
      </c>
      <c r="N3525" s="29"/>
      <c r="O3525" s="475" t="s">
        <v>2694</v>
      </c>
      <c r="P3525" s="475">
        <f>1.4*2.325</f>
        <v>3.2549999999999999</v>
      </c>
      <c r="Q3525" s="31"/>
    </row>
    <row r="3526" spans="6:34" ht="24" customHeight="1">
      <c r="F3526" s="470">
        <v>3</v>
      </c>
      <c r="G3526" s="471" t="s">
        <v>196</v>
      </c>
      <c r="H3526" s="470" t="s">
        <v>2695</v>
      </c>
      <c r="I3526" s="470">
        <f>C284</f>
        <v>57.2</v>
      </c>
      <c r="J3526" s="471" t="s">
        <v>196</v>
      </c>
      <c r="K3526" s="470">
        <f t="shared" si="312"/>
        <v>171.60000000000002</v>
      </c>
      <c r="M3526" s="470">
        <f>P3525</f>
        <v>3.2549999999999999</v>
      </c>
      <c r="N3526" s="471" t="s">
        <v>438</v>
      </c>
      <c r="O3526" s="470" t="s">
        <v>2696</v>
      </c>
      <c r="P3526" s="470">
        <f>I3522</f>
        <v>2211</v>
      </c>
      <c r="Q3526" s="471" t="s">
        <v>438</v>
      </c>
      <c r="R3526" s="470">
        <f t="shared" ref="R3526:R3534" si="313">P3526*M3526</f>
        <v>7196.8049999999994</v>
      </c>
    </row>
    <row r="3527" spans="6:34" ht="24" customHeight="1">
      <c r="F3527" s="470">
        <v>1</v>
      </c>
      <c r="G3527" s="471" t="s">
        <v>196</v>
      </c>
      <c r="H3527" s="470" t="s">
        <v>2697</v>
      </c>
      <c r="I3527" s="470">
        <f>C286</f>
        <v>159.69999999999999</v>
      </c>
      <c r="J3527" s="471" t="s">
        <v>196</v>
      </c>
      <c r="K3527" s="470">
        <f t="shared" si="312"/>
        <v>159.69999999999999</v>
      </c>
      <c r="M3527" s="470">
        <f>M3526</f>
        <v>3.2549999999999999</v>
      </c>
      <c r="N3527" s="471" t="s">
        <v>438</v>
      </c>
      <c r="O3527" s="470" t="s">
        <v>2698</v>
      </c>
      <c r="P3527" s="470">
        <f t="shared" ref="P3527:P3534" si="314">I3523</f>
        <v>248</v>
      </c>
      <c r="Q3527" s="471" t="s">
        <v>438</v>
      </c>
      <c r="R3527" s="470">
        <f t="shared" si="313"/>
        <v>807.24</v>
      </c>
    </row>
    <row r="3528" spans="6:34" ht="24" customHeight="1">
      <c r="F3528" s="470">
        <v>162</v>
      </c>
      <c r="G3528" s="471" t="s">
        <v>196</v>
      </c>
      <c r="H3528" s="470" t="s">
        <v>2699</v>
      </c>
      <c r="I3528" s="470">
        <f>P3448</f>
        <v>2.37</v>
      </c>
      <c r="J3528" s="471" t="s">
        <v>196</v>
      </c>
      <c r="K3528" s="470">
        <f t="shared" si="312"/>
        <v>383.94</v>
      </c>
      <c r="M3528" s="470">
        <v>4</v>
      </c>
      <c r="N3528" s="471" t="s">
        <v>196</v>
      </c>
      <c r="O3528" s="470" t="s">
        <v>2700</v>
      </c>
      <c r="P3528" s="470">
        <f t="shared" si="314"/>
        <v>50.9</v>
      </c>
      <c r="Q3528" s="471" t="s">
        <v>196</v>
      </c>
      <c r="R3528" s="470">
        <f t="shared" si="313"/>
        <v>203.6</v>
      </c>
    </row>
    <row r="3529" spans="6:34" ht="24" customHeight="1">
      <c r="F3529" s="470">
        <v>2</v>
      </c>
      <c r="G3529" s="471" t="s">
        <v>196</v>
      </c>
      <c r="H3529" s="470" t="s">
        <v>2701</v>
      </c>
      <c r="I3529" s="470">
        <f>P3197</f>
        <v>22.7</v>
      </c>
      <c r="J3529" s="471" t="s">
        <v>196</v>
      </c>
      <c r="K3529" s="470">
        <f t="shared" si="312"/>
        <v>45.4</v>
      </c>
      <c r="M3529" s="470">
        <v>10</v>
      </c>
      <c r="N3529" s="471" t="s">
        <v>196</v>
      </c>
      <c r="O3529" s="470" t="s">
        <v>2702</v>
      </c>
      <c r="P3529" s="470">
        <f t="shared" si="314"/>
        <v>79.099999999999994</v>
      </c>
      <c r="Q3529" s="471" t="s">
        <v>196</v>
      </c>
      <c r="R3529" s="470">
        <f t="shared" si="313"/>
        <v>791</v>
      </c>
    </row>
    <row r="3530" spans="6:34" ht="24" customHeight="1">
      <c r="F3530" s="470">
        <v>2</v>
      </c>
      <c r="G3530" s="471" t="s">
        <v>196</v>
      </c>
      <c r="H3530" s="470" t="s">
        <v>2703</v>
      </c>
      <c r="I3530" s="470">
        <f>P3403</f>
        <v>43.8</v>
      </c>
      <c r="J3530" s="471" t="s">
        <v>196</v>
      </c>
      <c r="K3530" s="470">
        <f t="shared" si="312"/>
        <v>87.6</v>
      </c>
      <c r="M3530" s="470">
        <v>3</v>
      </c>
      <c r="N3530" s="471" t="s">
        <v>196</v>
      </c>
      <c r="O3530" s="470" t="s">
        <v>2704</v>
      </c>
      <c r="P3530" s="470">
        <f t="shared" si="314"/>
        <v>57.2</v>
      </c>
      <c r="Q3530" s="471" t="s">
        <v>196</v>
      </c>
      <c r="R3530" s="470">
        <f t="shared" si="313"/>
        <v>171.60000000000002</v>
      </c>
    </row>
    <row r="3531" spans="6:34" ht="24" customHeight="1">
      <c r="F3531" s="476">
        <v>0.41099999999999998</v>
      </c>
      <c r="G3531" s="471" t="s">
        <v>438</v>
      </c>
      <c r="H3531" s="470" t="s">
        <v>2705</v>
      </c>
      <c r="I3531" s="470">
        <f>I1136</f>
        <v>206.33800000000002</v>
      </c>
      <c r="J3531" s="471" t="s">
        <v>438</v>
      </c>
      <c r="K3531" s="470">
        <f t="shared" si="312"/>
        <v>84.804918000000001</v>
      </c>
      <c r="M3531" s="470">
        <v>1</v>
      </c>
      <c r="N3531" s="471" t="s">
        <v>196</v>
      </c>
      <c r="O3531" s="470" t="s">
        <v>2662</v>
      </c>
      <c r="P3531" s="470">
        <f t="shared" si="314"/>
        <v>159.69999999999999</v>
      </c>
      <c r="Q3531" s="471" t="s">
        <v>196</v>
      </c>
      <c r="R3531" s="470">
        <f t="shared" si="313"/>
        <v>159.69999999999999</v>
      </c>
    </row>
    <row r="3532" spans="6:34" ht="24" customHeight="1">
      <c r="F3532" s="470"/>
      <c r="G3532" s="471"/>
      <c r="H3532" s="470" t="s">
        <v>2706</v>
      </c>
      <c r="I3532" s="470"/>
      <c r="J3532" s="472"/>
      <c r="K3532" s="470">
        <f>SUM(K3522:K3531)</f>
        <v>8222.6849180000008</v>
      </c>
      <c r="M3532" s="470">
        <v>162</v>
      </c>
      <c r="N3532" s="471" t="s">
        <v>196</v>
      </c>
      <c r="O3532" s="470" t="s">
        <v>2699</v>
      </c>
      <c r="P3532" s="470">
        <f t="shared" si="314"/>
        <v>2.37</v>
      </c>
      <c r="Q3532" s="471" t="s">
        <v>196</v>
      </c>
      <c r="R3532" s="470">
        <f t="shared" si="313"/>
        <v>383.94</v>
      </c>
    </row>
    <row r="3533" spans="6:34" ht="24" customHeight="1">
      <c r="F3533" s="470"/>
      <c r="G3533" s="471"/>
      <c r="H3533" s="470" t="s">
        <v>2204</v>
      </c>
      <c r="I3533" s="470"/>
      <c r="J3533" s="472"/>
      <c r="K3533" s="470">
        <f>K3532/F3523</f>
        <v>3211.9862960937503</v>
      </c>
      <c r="M3533" s="470">
        <v>2</v>
      </c>
      <c r="N3533" s="471" t="s">
        <v>196</v>
      </c>
      <c r="O3533" s="470" t="s">
        <v>2707</v>
      </c>
      <c r="P3533" s="470">
        <f t="shared" si="314"/>
        <v>22.7</v>
      </c>
      <c r="Q3533" s="471" t="s">
        <v>196</v>
      </c>
      <c r="R3533" s="470">
        <f t="shared" si="313"/>
        <v>45.4</v>
      </c>
    </row>
    <row r="3534" spans="6:34" ht="24" customHeight="1">
      <c r="H3534" s="470"/>
      <c r="K3534" s="470"/>
      <c r="M3534" s="470">
        <v>2</v>
      </c>
      <c r="N3534" s="471" t="s">
        <v>196</v>
      </c>
      <c r="O3534" s="470" t="s">
        <v>2703</v>
      </c>
      <c r="P3534" s="470">
        <f t="shared" si="314"/>
        <v>43.8</v>
      </c>
      <c r="Q3534" s="471" t="s">
        <v>196</v>
      </c>
      <c r="R3534" s="470">
        <f t="shared" si="313"/>
        <v>87.6</v>
      </c>
    </row>
    <row r="3535" spans="6:34" ht="24" customHeight="1">
      <c r="M3535" s="476">
        <v>0</v>
      </c>
      <c r="N3535" s="471" t="s">
        <v>438</v>
      </c>
      <c r="O3535" s="470" t="s">
        <v>2705</v>
      </c>
      <c r="P3535" s="470">
        <f>I3531</f>
        <v>206.33800000000002</v>
      </c>
      <c r="Q3535" s="471" t="s">
        <v>438</v>
      </c>
      <c r="R3535" s="470">
        <f>P3535*M3535</f>
        <v>0</v>
      </c>
    </row>
    <row r="3536" spans="6:34" ht="24" customHeight="1">
      <c r="F3536" s="470"/>
      <c r="G3536" s="471"/>
      <c r="H3536" s="470" t="s">
        <v>2708</v>
      </c>
      <c r="I3536" s="470"/>
      <c r="J3536" s="472"/>
      <c r="M3536" s="470"/>
      <c r="N3536" s="471"/>
      <c r="O3536" s="470" t="s">
        <v>2709</v>
      </c>
      <c r="P3536" s="470"/>
      <c r="Q3536" s="472"/>
      <c r="R3536" s="470">
        <f>SUM(R3526:R3535)</f>
        <v>9846.8850000000002</v>
      </c>
      <c r="S3536" s="470"/>
      <c r="T3536" s="471"/>
      <c r="U3536" s="470" t="s">
        <v>2710</v>
      </c>
      <c r="V3536" s="470"/>
      <c r="W3536" s="472"/>
      <c r="AD3536" s="470"/>
      <c r="AE3536" s="471"/>
      <c r="AF3536" s="470" t="s">
        <v>2711</v>
      </c>
      <c r="AG3536" s="470"/>
      <c r="AH3536" s="472"/>
    </row>
    <row r="3537" spans="6:35" ht="24" customHeight="1">
      <c r="H3537" s="470" t="s">
        <v>2712</v>
      </c>
      <c r="I3537" s="28">
        <f>0.9*2.025</f>
        <v>1.8225</v>
      </c>
      <c r="M3537" s="470"/>
      <c r="N3537" s="471"/>
      <c r="O3537" s="470" t="s">
        <v>2204</v>
      </c>
      <c r="P3537" s="470"/>
      <c r="Q3537" s="472"/>
      <c r="R3537" s="470">
        <f>R3536/M3527</f>
        <v>3025.1566820276498</v>
      </c>
      <c r="S3537" s="28"/>
      <c r="T3537" s="29"/>
      <c r="U3537" s="470" t="s">
        <v>2713</v>
      </c>
      <c r="V3537" s="28">
        <f>0.9*2.325</f>
        <v>2.0925000000000002</v>
      </c>
      <c r="W3537" s="31"/>
      <c r="AE3537" s="29"/>
      <c r="AF3537" s="470" t="s">
        <v>2712</v>
      </c>
      <c r="AG3537" s="28">
        <f>0.8*2.025</f>
        <v>1.62</v>
      </c>
      <c r="AH3537" s="31"/>
    </row>
    <row r="3538" spans="6:35" ht="24" customHeight="1">
      <c r="F3538" s="470">
        <f>I3537</f>
        <v>1.8225</v>
      </c>
      <c r="G3538" s="471" t="s">
        <v>438</v>
      </c>
      <c r="H3538" s="470" t="s">
        <v>2714</v>
      </c>
      <c r="I3538" s="473">
        <v>2211</v>
      </c>
      <c r="J3538" s="471" t="s">
        <v>438</v>
      </c>
      <c r="K3538" s="470">
        <f>I3538*F3538</f>
        <v>4029.5475000000001</v>
      </c>
      <c r="Q3538" s="471"/>
      <c r="R3538" s="474"/>
      <c r="S3538" s="470">
        <f>V3537</f>
        <v>2.0925000000000002</v>
      </c>
      <c r="T3538" s="471" t="s">
        <v>438</v>
      </c>
      <c r="U3538" s="470" t="s">
        <v>2714</v>
      </c>
      <c r="V3538" s="470">
        <f>I3538</f>
        <v>2211</v>
      </c>
      <c r="W3538" s="471" t="s">
        <v>438</v>
      </c>
      <c r="X3538" s="470">
        <f>V3538*S3538</f>
        <v>4626.5175000000008</v>
      </c>
      <c r="Y3538" s="470"/>
      <c r="AD3538" s="470">
        <f>AG3537</f>
        <v>1.62</v>
      </c>
      <c r="AE3538" s="471" t="s">
        <v>438</v>
      </c>
      <c r="AF3538" s="470" t="s">
        <v>2715</v>
      </c>
      <c r="AG3538" s="473">
        <f>I3522</f>
        <v>2211</v>
      </c>
      <c r="AH3538" s="471" t="s">
        <v>438</v>
      </c>
      <c r="AI3538" s="470">
        <f>AG3538*AD3538</f>
        <v>3581.82</v>
      </c>
    </row>
    <row r="3539" spans="6:35" ht="24" customHeight="1">
      <c r="F3539" s="470">
        <f>I3537</f>
        <v>1.8225</v>
      </c>
      <c r="G3539" s="471" t="s">
        <v>438</v>
      </c>
      <c r="H3539" s="470" t="s">
        <v>2716</v>
      </c>
      <c r="I3539" s="473">
        <v>161</v>
      </c>
      <c r="J3539" s="471" t="s">
        <v>438</v>
      </c>
      <c r="K3539" s="470">
        <f t="shared" ref="K3539:K3546" si="315">I3539*F3539</f>
        <v>293.42250000000001</v>
      </c>
      <c r="S3539" s="470">
        <f>V3537</f>
        <v>2.0925000000000002</v>
      </c>
      <c r="T3539" s="471" t="s">
        <v>438</v>
      </c>
      <c r="U3539" s="470" t="s">
        <v>2717</v>
      </c>
      <c r="V3539" s="470">
        <f t="shared" ref="V3539:V3547" si="316">I3539</f>
        <v>161</v>
      </c>
      <c r="W3539" s="471" t="s">
        <v>438</v>
      </c>
      <c r="X3539" s="470">
        <f t="shared" ref="X3539:X3546" si="317">V3539*S3539</f>
        <v>336.89250000000004</v>
      </c>
      <c r="Y3539" s="470"/>
      <c r="AD3539" s="470">
        <f>AG3537</f>
        <v>1.62</v>
      </c>
      <c r="AE3539" s="471" t="s">
        <v>438</v>
      </c>
      <c r="AF3539" s="470" t="s">
        <v>2718</v>
      </c>
      <c r="AG3539" s="473">
        <f>I3539</f>
        <v>161</v>
      </c>
      <c r="AH3539" s="471" t="s">
        <v>438</v>
      </c>
      <c r="AI3539" s="470">
        <f t="shared" ref="AI3539:AI3546" si="318">AG3539*AD3539</f>
        <v>260.82</v>
      </c>
    </row>
    <row r="3540" spans="6:35" ht="24" customHeight="1">
      <c r="F3540" s="470">
        <v>2</v>
      </c>
      <c r="G3540" s="471" t="s">
        <v>196</v>
      </c>
      <c r="H3540" s="470" t="s">
        <v>2700</v>
      </c>
      <c r="I3540" s="470">
        <f t="shared" ref="I3540:I3546" si="319">I3524</f>
        <v>50.9</v>
      </c>
      <c r="J3540" s="471" t="s">
        <v>196</v>
      </c>
      <c r="K3540" s="470">
        <f t="shared" si="315"/>
        <v>101.8</v>
      </c>
      <c r="M3540" s="470"/>
      <c r="N3540" s="471"/>
      <c r="O3540" s="470" t="s">
        <v>2719</v>
      </c>
      <c r="P3540" s="470"/>
      <c r="Q3540" s="472"/>
      <c r="S3540" s="470">
        <v>2</v>
      </c>
      <c r="T3540" s="471" t="s">
        <v>196</v>
      </c>
      <c r="U3540" s="470" t="s">
        <v>2700</v>
      </c>
      <c r="V3540" s="470">
        <f t="shared" si="316"/>
        <v>50.9</v>
      </c>
      <c r="W3540" s="471" t="s">
        <v>196</v>
      </c>
      <c r="X3540" s="470">
        <f t="shared" si="317"/>
        <v>101.8</v>
      </c>
      <c r="Y3540" s="470"/>
      <c r="AD3540" s="470">
        <v>2</v>
      </c>
      <c r="AE3540" s="471" t="s">
        <v>196</v>
      </c>
      <c r="AF3540" s="470" t="s">
        <v>2700</v>
      </c>
      <c r="AG3540" s="473">
        <f t="shared" ref="AG3540:AG3547" si="320">I3540</f>
        <v>50.9</v>
      </c>
      <c r="AH3540" s="471" t="s">
        <v>196</v>
      </c>
      <c r="AI3540" s="470">
        <f t="shared" si="318"/>
        <v>101.8</v>
      </c>
    </row>
    <row r="3541" spans="6:35" ht="24" customHeight="1">
      <c r="F3541" s="470">
        <v>5</v>
      </c>
      <c r="G3541" s="471" t="s">
        <v>196</v>
      </c>
      <c r="H3541" s="470" t="s">
        <v>2702</v>
      </c>
      <c r="I3541" s="470">
        <f t="shared" si="319"/>
        <v>79.099999999999994</v>
      </c>
      <c r="J3541" s="471" t="s">
        <v>196</v>
      </c>
      <c r="K3541" s="470">
        <f t="shared" si="315"/>
        <v>395.5</v>
      </c>
      <c r="N3541" s="29"/>
      <c r="O3541" s="475" t="s">
        <v>2720</v>
      </c>
      <c r="P3541" s="475">
        <f>1.1*2.325</f>
        <v>2.5575000000000006</v>
      </c>
      <c r="Q3541" s="31"/>
      <c r="S3541" s="470">
        <v>6</v>
      </c>
      <c r="T3541" s="471" t="s">
        <v>196</v>
      </c>
      <c r="U3541" s="470" t="s">
        <v>2702</v>
      </c>
      <c r="V3541" s="470">
        <f t="shared" si="316"/>
        <v>79.099999999999994</v>
      </c>
      <c r="W3541" s="471" t="s">
        <v>196</v>
      </c>
      <c r="X3541" s="470">
        <f t="shared" si="317"/>
        <v>474.59999999999997</v>
      </c>
      <c r="Y3541" s="470"/>
      <c r="AD3541" s="470">
        <v>5</v>
      </c>
      <c r="AE3541" s="471" t="s">
        <v>196</v>
      </c>
      <c r="AF3541" s="470" t="s">
        <v>2702</v>
      </c>
      <c r="AG3541" s="473">
        <f t="shared" si="320"/>
        <v>79.099999999999994</v>
      </c>
      <c r="AH3541" s="471" t="s">
        <v>196</v>
      </c>
      <c r="AI3541" s="470">
        <f t="shared" si="318"/>
        <v>395.5</v>
      </c>
    </row>
    <row r="3542" spans="6:35" ht="24" customHeight="1">
      <c r="F3542" s="470">
        <v>2</v>
      </c>
      <c r="G3542" s="471" t="s">
        <v>196</v>
      </c>
      <c r="H3542" s="470" t="s">
        <v>2704</v>
      </c>
      <c r="I3542" s="470">
        <f t="shared" si="319"/>
        <v>57.2</v>
      </c>
      <c r="J3542" s="471" t="s">
        <v>196</v>
      </c>
      <c r="K3542" s="470">
        <f t="shared" si="315"/>
        <v>114.4</v>
      </c>
      <c r="M3542" s="470">
        <f>P3541</f>
        <v>2.5575000000000006</v>
      </c>
      <c r="N3542" s="471" t="s">
        <v>438</v>
      </c>
      <c r="O3542" s="470" t="s">
        <v>2714</v>
      </c>
      <c r="P3542" s="470">
        <f>I3538</f>
        <v>2211</v>
      </c>
      <c r="Q3542" s="471" t="s">
        <v>438</v>
      </c>
      <c r="R3542" s="470">
        <f>P3542*M3542</f>
        <v>5654.6325000000015</v>
      </c>
      <c r="S3542" s="470">
        <v>2</v>
      </c>
      <c r="T3542" s="471" t="s">
        <v>196</v>
      </c>
      <c r="U3542" s="470" t="s">
        <v>2704</v>
      </c>
      <c r="V3542" s="470">
        <f t="shared" si="316"/>
        <v>57.2</v>
      </c>
      <c r="W3542" s="471" t="s">
        <v>196</v>
      </c>
      <c r="X3542" s="470">
        <f t="shared" si="317"/>
        <v>114.4</v>
      </c>
      <c r="Y3542" s="470"/>
      <c r="AD3542" s="470">
        <v>2</v>
      </c>
      <c r="AE3542" s="471" t="s">
        <v>196</v>
      </c>
      <c r="AF3542" s="470" t="s">
        <v>2704</v>
      </c>
      <c r="AG3542" s="473">
        <f t="shared" si="320"/>
        <v>57.2</v>
      </c>
      <c r="AH3542" s="471" t="s">
        <v>196</v>
      </c>
      <c r="AI3542" s="470">
        <f t="shared" si="318"/>
        <v>114.4</v>
      </c>
    </row>
    <row r="3543" spans="6:35" ht="24" customHeight="1">
      <c r="F3543" s="470">
        <v>1</v>
      </c>
      <c r="G3543" s="471" t="s">
        <v>196</v>
      </c>
      <c r="H3543" s="470" t="s">
        <v>2662</v>
      </c>
      <c r="I3543" s="470">
        <f t="shared" si="319"/>
        <v>159.69999999999999</v>
      </c>
      <c r="J3543" s="471" t="s">
        <v>196</v>
      </c>
      <c r="K3543" s="470">
        <f t="shared" si="315"/>
        <v>159.69999999999999</v>
      </c>
      <c r="M3543" s="470">
        <f>P3541</f>
        <v>2.5575000000000006</v>
      </c>
      <c r="N3543" s="471" t="s">
        <v>438</v>
      </c>
      <c r="O3543" s="470" t="s">
        <v>2721</v>
      </c>
      <c r="P3543" s="470">
        <v>122</v>
      </c>
      <c r="Q3543" s="471" t="s">
        <v>438</v>
      </c>
      <c r="R3543" s="470">
        <f t="shared" ref="R3543:R3551" si="321">P3543*M3543</f>
        <v>312.01500000000004</v>
      </c>
      <c r="S3543" s="470">
        <v>1</v>
      </c>
      <c r="T3543" s="471" t="s">
        <v>196</v>
      </c>
      <c r="U3543" s="470" t="s">
        <v>2662</v>
      </c>
      <c r="V3543" s="470">
        <f t="shared" si="316"/>
        <v>159.69999999999999</v>
      </c>
      <c r="W3543" s="471" t="s">
        <v>196</v>
      </c>
      <c r="X3543" s="470">
        <f t="shared" si="317"/>
        <v>159.69999999999999</v>
      </c>
      <c r="Y3543" s="470"/>
      <c r="AD3543" s="470">
        <v>1</v>
      </c>
      <c r="AE3543" s="471" t="s">
        <v>196</v>
      </c>
      <c r="AF3543" s="470" t="s">
        <v>2662</v>
      </c>
      <c r="AG3543" s="473">
        <f t="shared" si="320"/>
        <v>159.69999999999999</v>
      </c>
      <c r="AH3543" s="471" t="s">
        <v>196</v>
      </c>
      <c r="AI3543" s="470">
        <f t="shared" si="318"/>
        <v>159.69999999999999</v>
      </c>
    </row>
    <row r="3544" spans="6:35" ht="24" customHeight="1">
      <c r="F3544" s="470">
        <v>92</v>
      </c>
      <c r="G3544" s="471" t="s">
        <v>196</v>
      </c>
      <c r="H3544" s="470" t="s">
        <v>2699</v>
      </c>
      <c r="I3544" s="470">
        <f t="shared" si="319"/>
        <v>2.37</v>
      </c>
      <c r="J3544" s="471" t="s">
        <v>196</v>
      </c>
      <c r="K3544" s="470">
        <f t="shared" si="315"/>
        <v>218.04000000000002</v>
      </c>
      <c r="M3544" s="470">
        <v>2</v>
      </c>
      <c r="N3544" s="471" t="s">
        <v>196</v>
      </c>
      <c r="O3544" s="470" t="s">
        <v>2700</v>
      </c>
      <c r="P3544" s="470">
        <f t="shared" ref="P3544:P3550" si="322">P3528</f>
        <v>50.9</v>
      </c>
      <c r="Q3544" s="471" t="s">
        <v>196</v>
      </c>
      <c r="R3544" s="470">
        <f t="shared" si="321"/>
        <v>101.8</v>
      </c>
      <c r="S3544" s="470">
        <v>92</v>
      </c>
      <c r="T3544" s="471" t="s">
        <v>196</v>
      </c>
      <c r="U3544" s="470" t="s">
        <v>2699</v>
      </c>
      <c r="V3544" s="470">
        <f t="shared" si="316"/>
        <v>2.37</v>
      </c>
      <c r="W3544" s="471" t="s">
        <v>196</v>
      </c>
      <c r="X3544" s="470">
        <f t="shared" si="317"/>
        <v>218.04000000000002</v>
      </c>
      <c r="Y3544" s="470"/>
      <c r="AD3544" s="470">
        <v>92</v>
      </c>
      <c r="AE3544" s="471" t="s">
        <v>196</v>
      </c>
      <c r="AF3544" s="470" t="s">
        <v>2699</v>
      </c>
      <c r="AG3544" s="473">
        <f t="shared" si="320"/>
        <v>2.37</v>
      </c>
      <c r="AH3544" s="471" t="s">
        <v>196</v>
      </c>
      <c r="AI3544" s="470">
        <f t="shared" si="318"/>
        <v>218.04000000000002</v>
      </c>
    </row>
    <row r="3545" spans="6:35" ht="24" customHeight="1">
      <c r="F3545" s="470">
        <v>1</v>
      </c>
      <c r="G3545" s="471" t="s">
        <v>196</v>
      </c>
      <c r="H3545" s="470" t="s">
        <v>2707</v>
      </c>
      <c r="I3545" s="470">
        <f t="shared" si="319"/>
        <v>22.7</v>
      </c>
      <c r="J3545" s="471" t="s">
        <v>196</v>
      </c>
      <c r="K3545" s="470">
        <f t="shared" si="315"/>
        <v>22.7</v>
      </c>
      <c r="M3545" s="470">
        <v>5</v>
      </c>
      <c r="N3545" s="471" t="s">
        <v>196</v>
      </c>
      <c r="O3545" s="470" t="s">
        <v>2702</v>
      </c>
      <c r="P3545" s="470">
        <f t="shared" si="322"/>
        <v>79.099999999999994</v>
      </c>
      <c r="Q3545" s="471" t="s">
        <v>196</v>
      </c>
      <c r="R3545" s="470">
        <f t="shared" si="321"/>
        <v>395.5</v>
      </c>
      <c r="S3545" s="470">
        <v>1</v>
      </c>
      <c r="T3545" s="471" t="s">
        <v>196</v>
      </c>
      <c r="U3545" s="470" t="s">
        <v>2707</v>
      </c>
      <c r="V3545" s="470">
        <f t="shared" si="316"/>
        <v>22.7</v>
      </c>
      <c r="W3545" s="471" t="s">
        <v>196</v>
      </c>
      <c r="X3545" s="470">
        <f t="shared" si="317"/>
        <v>22.7</v>
      </c>
      <c r="Y3545" s="470"/>
      <c r="AD3545" s="470">
        <v>1</v>
      </c>
      <c r="AE3545" s="471" t="s">
        <v>196</v>
      </c>
      <c r="AF3545" s="470" t="s">
        <v>2707</v>
      </c>
      <c r="AG3545" s="473">
        <f t="shared" si="320"/>
        <v>22.7</v>
      </c>
      <c r="AH3545" s="471" t="s">
        <v>196</v>
      </c>
      <c r="AI3545" s="470">
        <f t="shared" si="318"/>
        <v>22.7</v>
      </c>
    </row>
    <row r="3546" spans="6:35" ht="24" customHeight="1">
      <c r="F3546" s="470">
        <v>1</v>
      </c>
      <c r="G3546" s="471" t="s">
        <v>196</v>
      </c>
      <c r="H3546" s="470" t="s">
        <v>2703</v>
      </c>
      <c r="I3546" s="470">
        <f t="shared" si="319"/>
        <v>43.8</v>
      </c>
      <c r="J3546" s="471" t="s">
        <v>196</v>
      </c>
      <c r="K3546" s="470">
        <f t="shared" si="315"/>
        <v>43.8</v>
      </c>
      <c r="M3546" s="470">
        <v>2</v>
      </c>
      <c r="N3546" s="471" t="s">
        <v>196</v>
      </c>
      <c r="O3546" s="470" t="s">
        <v>2704</v>
      </c>
      <c r="P3546" s="470">
        <f t="shared" si="322"/>
        <v>57.2</v>
      </c>
      <c r="Q3546" s="471" t="s">
        <v>196</v>
      </c>
      <c r="R3546" s="470">
        <f t="shared" si="321"/>
        <v>114.4</v>
      </c>
      <c r="S3546" s="470">
        <v>1</v>
      </c>
      <c r="T3546" s="471" t="s">
        <v>196</v>
      </c>
      <c r="U3546" s="470" t="s">
        <v>2703</v>
      </c>
      <c r="V3546" s="470">
        <f t="shared" si="316"/>
        <v>43.8</v>
      </c>
      <c r="W3546" s="471" t="s">
        <v>196</v>
      </c>
      <c r="X3546" s="470">
        <f t="shared" si="317"/>
        <v>43.8</v>
      </c>
      <c r="Y3546" s="470"/>
      <c r="AD3546" s="470">
        <v>1</v>
      </c>
      <c r="AE3546" s="471" t="s">
        <v>196</v>
      </c>
      <c r="AF3546" s="470" t="s">
        <v>2703</v>
      </c>
      <c r="AG3546" s="473">
        <f t="shared" si="320"/>
        <v>43.8</v>
      </c>
      <c r="AH3546" s="471" t="s">
        <v>196</v>
      </c>
      <c r="AI3546" s="470">
        <f t="shared" si="318"/>
        <v>43.8</v>
      </c>
    </row>
    <row r="3547" spans="6:35" ht="24" customHeight="1">
      <c r="F3547" s="477">
        <v>0.35</v>
      </c>
      <c r="G3547" s="478" t="s">
        <v>438</v>
      </c>
      <c r="H3547" s="473" t="s">
        <v>2722</v>
      </c>
      <c r="I3547" s="473">
        <f>K1540</f>
        <v>244.32330000000002</v>
      </c>
      <c r="J3547" s="478" t="s">
        <v>438</v>
      </c>
      <c r="K3547" s="473"/>
      <c r="M3547" s="470">
        <v>1</v>
      </c>
      <c r="N3547" s="471" t="s">
        <v>196</v>
      </c>
      <c r="O3547" s="470" t="s">
        <v>2662</v>
      </c>
      <c r="P3547" s="470">
        <f t="shared" si="322"/>
        <v>159.69999999999999</v>
      </c>
      <c r="Q3547" s="471" t="s">
        <v>196</v>
      </c>
      <c r="R3547" s="470">
        <f t="shared" si="321"/>
        <v>159.69999999999999</v>
      </c>
      <c r="S3547" s="477">
        <v>0.39</v>
      </c>
      <c r="T3547" s="478" t="s">
        <v>438</v>
      </c>
      <c r="U3547" s="473" t="s">
        <v>2722</v>
      </c>
      <c r="V3547" s="470">
        <f t="shared" si="316"/>
        <v>244.32330000000002</v>
      </c>
      <c r="W3547" s="478" t="s">
        <v>438</v>
      </c>
      <c r="X3547" s="473"/>
      <c r="Y3547" s="473"/>
      <c r="AD3547" s="477">
        <v>0.35</v>
      </c>
      <c r="AE3547" s="478" t="s">
        <v>438</v>
      </c>
      <c r="AF3547" s="473" t="s">
        <v>2722</v>
      </c>
      <c r="AG3547" s="473">
        <f t="shared" si="320"/>
        <v>244.32330000000002</v>
      </c>
      <c r="AH3547" s="478" t="s">
        <v>438</v>
      </c>
      <c r="AI3547" s="470"/>
    </row>
    <row r="3548" spans="6:35" ht="24" customHeight="1">
      <c r="F3548" s="470"/>
      <c r="G3548" s="471"/>
      <c r="H3548" s="470" t="s">
        <v>2723</v>
      </c>
      <c r="I3548" s="470"/>
      <c r="J3548" s="472"/>
      <c r="K3548" s="470">
        <f>SUM(K3538:K3547)</f>
        <v>5378.91</v>
      </c>
      <c r="M3548" s="470">
        <v>92</v>
      </c>
      <c r="N3548" s="471" t="s">
        <v>196</v>
      </c>
      <c r="O3548" s="470" t="s">
        <v>2699</v>
      </c>
      <c r="P3548" s="470">
        <f t="shared" si="322"/>
        <v>2.37</v>
      </c>
      <c r="Q3548" s="471" t="s">
        <v>196</v>
      </c>
      <c r="R3548" s="470">
        <f t="shared" si="321"/>
        <v>218.04000000000002</v>
      </c>
      <c r="S3548" s="470"/>
      <c r="T3548" s="471"/>
      <c r="U3548" s="470" t="s">
        <v>2724</v>
      </c>
      <c r="V3548" s="470"/>
      <c r="W3548" s="472"/>
      <c r="X3548" s="470">
        <f>SUM(X3538:X3547)</f>
        <v>6098.4500000000007</v>
      </c>
      <c r="Y3548" s="470"/>
      <c r="AD3548" s="470"/>
      <c r="AE3548" s="471"/>
      <c r="AF3548" s="470" t="s">
        <v>2725</v>
      </c>
      <c r="AG3548" s="470"/>
      <c r="AH3548" s="472"/>
      <c r="AI3548" s="470">
        <f>SUM(AI3538:AI3547)</f>
        <v>4898.58</v>
      </c>
    </row>
    <row r="3549" spans="6:35" ht="24" customHeight="1">
      <c r="F3549" s="470"/>
      <c r="G3549" s="471"/>
      <c r="H3549" s="470" t="s">
        <v>2204</v>
      </c>
      <c r="I3549" s="470"/>
      <c r="J3549" s="472"/>
      <c r="K3549" s="470">
        <f>K3548/F3539</f>
        <v>2951.3909465020574</v>
      </c>
      <c r="M3549" s="470">
        <v>1</v>
      </c>
      <c r="N3549" s="471" t="s">
        <v>196</v>
      </c>
      <c r="O3549" s="470" t="s">
        <v>2707</v>
      </c>
      <c r="P3549" s="470">
        <f t="shared" si="322"/>
        <v>22.7</v>
      </c>
      <c r="Q3549" s="471" t="s">
        <v>196</v>
      </c>
      <c r="R3549" s="470">
        <f t="shared" si="321"/>
        <v>22.7</v>
      </c>
      <c r="S3549" s="470"/>
      <c r="T3549" s="471"/>
      <c r="U3549" s="470" t="s">
        <v>2204</v>
      </c>
      <c r="V3549" s="470"/>
      <c r="W3549" s="472"/>
      <c r="X3549" s="470">
        <f>X3548/S3539</f>
        <v>2914.432497013142</v>
      </c>
      <c r="Y3549" s="470"/>
      <c r="AD3549" s="470"/>
      <c r="AE3549" s="471"/>
      <c r="AF3549" s="470" t="s">
        <v>2204</v>
      </c>
      <c r="AG3549" s="470"/>
      <c r="AH3549" s="472"/>
      <c r="AI3549" s="470">
        <f>AI3548/AD3539</f>
        <v>3023.8148148148148</v>
      </c>
    </row>
    <row r="3550" spans="6:35" ht="24" customHeight="1">
      <c r="M3550" s="470">
        <v>1</v>
      </c>
      <c r="N3550" s="471" t="s">
        <v>196</v>
      </c>
      <c r="O3550" s="470" t="s">
        <v>2703</v>
      </c>
      <c r="P3550" s="470">
        <f t="shared" si="322"/>
        <v>43.8</v>
      </c>
      <c r="Q3550" s="471" t="s">
        <v>196</v>
      </c>
      <c r="R3550" s="470">
        <f t="shared" si="321"/>
        <v>43.8</v>
      </c>
      <c r="AE3550" s="29"/>
      <c r="AH3550" s="31"/>
    </row>
    <row r="3551" spans="6:35" ht="24" customHeight="1">
      <c r="M3551" s="476"/>
      <c r="N3551" s="471" t="s">
        <v>438</v>
      </c>
      <c r="O3551" s="470" t="s">
        <v>2705</v>
      </c>
      <c r="P3551" s="470">
        <f>P3535</f>
        <v>206.33800000000002</v>
      </c>
      <c r="Q3551" s="471" t="s">
        <v>438</v>
      </c>
      <c r="R3551" s="470">
        <f t="shared" si="321"/>
        <v>0</v>
      </c>
    </row>
    <row r="3552" spans="6:35" ht="24" customHeight="1">
      <c r="F3552" s="77"/>
      <c r="G3552" s="38" t="s">
        <v>67</v>
      </c>
      <c r="H3552" s="26" t="s">
        <v>1900</v>
      </c>
      <c r="M3552" s="470"/>
      <c r="N3552" s="471"/>
      <c r="O3552" s="470" t="s">
        <v>2726</v>
      </c>
      <c r="P3552" s="470"/>
      <c r="Q3552" s="472"/>
      <c r="R3552" s="470">
        <f>SUM(R3542:R3551)</f>
        <v>7022.5875000000015</v>
      </c>
      <c r="S3552" s="470"/>
      <c r="T3552" s="471"/>
      <c r="U3552" s="470" t="s">
        <v>2727</v>
      </c>
      <c r="V3552" s="470"/>
      <c r="W3552" s="472"/>
    </row>
    <row r="3553" spans="6:25" ht="24" customHeight="1">
      <c r="H3553" s="30" t="s">
        <v>2728</v>
      </c>
      <c r="M3553" s="470"/>
      <c r="N3553" s="471"/>
      <c r="O3553" s="470" t="s">
        <v>2204</v>
      </c>
      <c r="P3553" s="470"/>
      <c r="Q3553" s="472"/>
      <c r="R3553" s="470">
        <f>R3552/M3543</f>
        <v>2745.8797653958945</v>
      </c>
      <c r="S3553" s="28"/>
      <c r="T3553" s="29"/>
      <c r="U3553" s="470" t="s">
        <v>2729</v>
      </c>
      <c r="V3553" s="28">
        <f>1.4*2.025</f>
        <v>2.8349999999999995</v>
      </c>
      <c r="W3553" s="31"/>
    </row>
    <row r="3554" spans="6:25" ht="24" customHeight="1">
      <c r="H3554" s="26" t="s">
        <v>1902</v>
      </c>
      <c r="N3554" s="29"/>
      <c r="Q3554" s="31"/>
      <c r="S3554" s="470">
        <f>V3553</f>
        <v>2.8349999999999995</v>
      </c>
      <c r="T3554" s="471" t="s">
        <v>438</v>
      </c>
      <c r="U3554" s="470" t="s">
        <v>2714</v>
      </c>
      <c r="V3554" s="470">
        <f>P3526</f>
        <v>2211</v>
      </c>
      <c r="W3554" s="471" t="s">
        <v>438</v>
      </c>
      <c r="X3554" s="470">
        <f>V3554*S3554</f>
        <v>6268.1849999999986</v>
      </c>
      <c r="Y3554" s="470"/>
    </row>
    <row r="3555" spans="6:25" ht="24" customHeight="1">
      <c r="H3555" s="26" t="s">
        <v>1903</v>
      </c>
      <c r="S3555" s="470">
        <f>V3553</f>
        <v>2.8349999999999995</v>
      </c>
      <c r="T3555" s="471" t="s">
        <v>438</v>
      </c>
      <c r="U3555" s="470" t="s">
        <v>2717</v>
      </c>
      <c r="V3555" s="470">
        <f>P3527</f>
        <v>248</v>
      </c>
      <c r="W3555" s="471" t="s">
        <v>438</v>
      </c>
      <c r="X3555" s="470">
        <f t="shared" ref="X3555:X3563" si="323">V3555*S3555</f>
        <v>703.07999999999993</v>
      </c>
      <c r="Y3555" s="470"/>
    </row>
    <row r="3556" spans="6:25" ht="46.5" customHeight="1">
      <c r="H3556" s="35" t="s">
        <v>48</v>
      </c>
      <c r="S3556" s="470">
        <v>4</v>
      </c>
      <c r="T3556" s="471" t="s">
        <v>196</v>
      </c>
      <c r="U3556" s="470" t="s">
        <v>2700</v>
      </c>
      <c r="V3556" s="470">
        <f t="shared" ref="V3556:V3563" si="324">V3540</f>
        <v>50.9</v>
      </c>
      <c r="W3556" s="471" t="s">
        <v>196</v>
      </c>
      <c r="X3556" s="470">
        <f t="shared" si="323"/>
        <v>203.6</v>
      </c>
      <c r="Y3556" s="470"/>
    </row>
    <row r="3557" spans="6:25" ht="33.75" customHeight="1">
      <c r="F3557" s="277">
        <v>1</v>
      </c>
      <c r="G3557" s="277" t="s">
        <v>105</v>
      </c>
      <c r="H3557" s="88" t="s">
        <v>2730</v>
      </c>
      <c r="I3557" s="479">
        <v>1640</v>
      </c>
      <c r="J3557" s="279" t="s">
        <v>105</v>
      </c>
      <c r="K3557" s="277">
        <f>(F3557*I3557)</f>
        <v>1640</v>
      </c>
      <c r="S3557" s="470">
        <v>10</v>
      </c>
      <c r="T3557" s="471" t="s">
        <v>196</v>
      </c>
      <c r="U3557" s="470" t="s">
        <v>2702</v>
      </c>
      <c r="V3557" s="470">
        <f t="shared" si="324"/>
        <v>79.099999999999994</v>
      </c>
      <c r="W3557" s="471" t="s">
        <v>196</v>
      </c>
      <c r="X3557" s="470">
        <f t="shared" si="323"/>
        <v>791</v>
      </c>
      <c r="Y3557" s="470"/>
    </row>
    <row r="3558" spans="6:25" ht="24" customHeight="1">
      <c r="F3558" s="40"/>
      <c r="G3558" s="38"/>
      <c r="H3558" s="78"/>
      <c r="I3558" s="40"/>
      <c r="J3558" s="26"/>
      <c r="K3558" s="40"/>
      <c r="S3558" s="470">
        <v>3</v>
      </c>
      <c r="T3558" s="471" t="s">
        <v>196</v>
      </c>
      <c r="U3558" s="470" t="s">
        <v>2704</v>
      </c>
      <c r="V3558" s="470">
        <f t="shared" si="324"/>
        <v>57.2</v>
      </c>
      <c r="W3558" s="471" t="s">
        <v>196</v>
      </c>
      <c r="X3558" s="470">
        <f t="shared" si="323"/>
        <v>171.60000000000002</v>
      </c>
      <c r="Y3558" s="470"/>
    </row>
    <row r="3559" spans="6:25" ht="24" customHeight="1">
      <c r="F3559" s="40"/>
      <c r="G3559" s="38"/>
      <c r="H3559" s="78"/>
      <c r="I3559" s="40"/>
      <c r="J3559" s="27"/>
      <c r="K3559" s="40"/>
      <c r="S3559" s="470">
        <v>1</v>
      </c>
      <c r="T3559" s="471" t="s">
        <v>196</v>
      </c>
      <c r="U3559" s="470" t="s">
        <v>2662</v>
      </c>
      <c r="V3559" s="470">
        <f t="shared" si="324"/>
        <v>159.69999999999999</v>
      </c>
      <c r="W3559" s="471" t="s">
        <v>196</v>
      </c>
      <c r="X3559" s="470">
        <f t="shared" si="323"/>
        <v>159.69999999999999</v>
      </c>
      <c r="Y3559" s="470"/>
    </row>
    <row r="3560" spans="6:25" ht="24" customHeight="1">
      <c r="F3560" s="280">
        <v>1</v>
      </c>
      <c r="G3560" s="280" t="s">
        <v>105</v>
      </c>
      <c r="H3560" s="78" t="s">
        <v>2731</v>
      </c>
      <c r="I3560" s="293">
        <f>I1939</f>
        <v>-166</v>
      </c>
      <c r="J3560" s="78" t="s">
        <v>105</v>
      </c>
      <c r="K3560" s="280">
        <f>(F3560*I3560)</f>
        <v>-166</v>
      </c>
      <c r="S3560" s="470">
        <v>162</v>
      </c>
      <c r="T3560" s="471" t="s">
        <v>196</v>
      </c>
      <c r="U3560" s="470" t="s">
        <v>2699</v>
      </c>
      <c r="V3560" s="470">
        <f t="shared" si="324"/>
        <v>2.37</v>
      </c>
      <c r="W3560" s="471" t="s">
        <v>196</v>
      </c>
      <c r="X3560" s="470">
        <f t="shared" si="323"/>
        <v>383.94</v>
      </c>
      <c r="Y3560" s="470"/>
    </row>
    <row r="3561" spans="6:25" ht="24" customHeight="1">
      <c r="F3561" s="48"/>
      <c r="G3561" s="273"/>
      <c r="H3561" s="78"/>
      <c r="I3561" s="48"/>
      <c r="J3561" s="103"/>
      <c r="K3561" s="48"/>
      <c r="S3561" s="470">
        <v>2</v>
      </c>
      <c r="T3561" s="471" t="s">
        <v>196</v>
      </c>
      <c r="U3561" s="470" t="s">
        <v>2707</v>
      </c>
      <c r="V3561" s="470">
        <f t="shared" si="324"/>
        <v>22.7</v>
      </c>
      <c r="W3561" s="471" t="s">
        <v>196</v>
      </c>
      <c r="X3561" s="470">
        <f t="shared" si="323"/>
        <v>45.4</v>
      </c>
      <c r="Y3561" s="470"/>
    </row>
    <row r="3562" spans="6:25" ht="24" customHeight="1">
      <c r="F3562" s="48">
        <v>1</v>
      </c>
      <c r="G3562" s="273" t="s">
        <v>105</v>
      </c>
      <c r="H3562" s="78" t="s">
        <v>1906</v>
      </c>
      <c r="I3562" s="480">
        <v>250</v>
      </c>
      <c r="J3562" s="78" t="s">
        <v>105</v>
      </c>
      <c r="K3562" s="481">
        <f>(F3562*I3562)</f>
        <v>250</v>
      </c>
      <c r="S3562" s="470">
        <v>2</v>
      </c>
      <c r="T3562" s="471" t="s">
        <v>196</v>
      </c>
      <c r="U3562" s="470" t="s">
        <v>2703</v>
      </c>
      <c r="V3562" s="470">
        <f t="shared" si="324"/>
        <v>43.8</v>
      </c>
      <c r="W3562" s="471" t="s">
        <v>196</v>
      </c>
      <c r="X3562" s="470">
        <f t="shared" si="323"/>
        <v>87.6</v>
      </c>
      <c r="Y3562" s="470"/>
    </row>
    <row r="3563" spans="6:25" ht="24" customHeight="1">
      <c r="F3563" s="40"/>
      <c r="G3563" s="38"/>
      <c r="H3563" s="26"/>
      <c r="I3563" s="40"/>
      <c r="J3563" s="26"/>
      <c r="K3563" s="40"/>
      <c r="S3563" s="477">
        <v>0.65</v>
      </c>
      <c r="T3563" s="478" t="s">
        <v>438</v>
      </c>
      <c r="U3563" s="473" t="s">
        <v>2722</v>
      </c>
      <c r="V3563" s="470">
        <f t="shared" si="324"/>
        <v>244.32330000000002</v>
      </c>
      <c r="W3563" s="478" t="s">
        <v>438</v>
      </c>
      <c r="X3563" s="473">
        <f t="shared" si="323"/>
        <v>158.81014500000001</v>
      </c>
      <c r="Y3563" s="473"/>
    </row>
    <row r="3564" spans="6:25" ht="24" customHeight="1">
      <c r="F3564" s="40">
        <v>0.5</v>
      </c>
      <c r="G3564" s="38" t="s">
        <v>105</v>
      </c>
      <c r="H3564" s="26" t="s">
        <v>1741</v>
      </c>
      <c r="I3564" s="40">
        <f>I1943</f>
        <v>933.8</v>
      </c>
      <c r="J3564" s="26" t="s">
        <v>105</v>
      </c>
      <c r="K3564" s="40">
        <f>(F3564*I3564)</f>
        <v>466.9</v>
      </c>
      <c r="S3564" s="470"/>
      <c r="T3564" s="471"/>
      <c r="U3564" s="470" t="s">
        <v>2732</v>
      </c>
      <c r="V3564" s="470"/>
      <c r="W3564" s="472"/>
      <c r="X3564" s="470">
        <f>SUM(X3554:X3563)</f>
        <v>8972.915144999999</v>
      </c>
      <c r="Y3564" s="470"/>
    </row>
    <row r="3565" spans="6:25" ht="24" customHeight="1">
      <c r="F3565" s="40">
        <v>1</v>
      </c>
      <c r="G3565" s="38" t="s">
        <v>105</v>
      </c>
      <c r="H3565" s="26" t="s">
        <v>271</v>
      </c>
      <c r="I3565" s="40">
        <f>I1944</f>
        <v>702.8</v>
      </c>
      <c r="J3565" s="26" t="s">
        <v>105</v>
      </c>
      <c r="K3565" s="40">
        <f>(F3565*I3565)</f>
        <v>702.8</v>
      </c>
      <c r="S3565" s="470"/>
      <c r="T3565" s="471"/>
      <c r="U3565" s="470" t="s">
        <v>2204</v>
      </c>
      <c r="V3565" s="470"/>
      <c r="W3565" s="472"/>
      <c r="X3565" s="470">
        <f>X3564/S3555</f>
        <v>3165.0494338624339</v>
      </c>
      <c r="Y3565" s="470"/>
    </row>
    <row r="3566" spans="6:25" ht="24" customHeight="1">
      <c r="F3566" s="40">
        <v>0.5</v>
      </c>
      <c r="G3566" s="38" t="s">
        <v>105</v>
      </c>
      <c r="H3566" s="26" t="s">
        <v>298</v>
      </c>
      <c r="I3566" s="40">
        <f>I1945</f>
        <v>1076.5999999999999</v>
      </c>
      <c r="J3566" s="26" t="s">
        <v>105</v>
      </c>
      <c r="K3566" s="40">
        <f>(F3566*I3566)</f>
        <v>538.29999999999995</v>
      </c>
    </row>
    <row r="3567" spans="6:25" ht="24" customHeight="1">
      <c r="G3567" s="38" t="s">
        <v>106</v>
      </c>
      <c r="H3567" s="26" t="s">
        <v>1907</v>
      </c>
      <c r="J3567" s="26" t="s">
        <v>106</v>
      </c>
      <c r="K3567" s="40">
        <v>0.82</v>
      </c>
    </row>
    <row r="3568" spans="6:25" ht="24" customHeight="1">
      <c r="K3568" s="35" t="s">
        <v>48</v>
      </c>
      <c r="S3568" s="470"/>
      <c r="T3568" s="471"/>
      <c r="U3568" s="470" t="s">
        <v>2733</v>
      </c>
      <c r="V3568" s="470"/>
      <c r="W3568" s="472"/>
    </row>
    <row r="3569" spans="6:25" ht="24" customHeight="1">
      <c r="H3569" s="26" t="s">
        <v>830</v>
      </c>
      <c r="K3569" s="39">
        <f>SUM(K3557:K3567)</f>
        <v>3432.82</v>
      </c>
      <c r="S3569" s="28"/>
      <c r="T3569" s="29"/>
      <c r="U3569" s="470" t="s">
        <v>2734</v>
      </c>
      <c r="V3569" s="28">
        <f>1.4*2.325</f>
        <v>3.2549999999999999</v>
      </c>
      <c r="W3569" s="31"/>
    </row>
    <row r="3570" spans="6:25" ht="24" customHeight="1">
      <c r="K3570" s="35" t="s">
        <v>48</v>
      </c>
      <c r="S3570" s="470">
        <f>V3569</f>
        <v>3.2549999999999999</v>
      </c>
      <c r="T3570" s="471" t="s">
        <v>438</v>
      </c>
      <c r="U3570" s="470" t="s">
        <v>2714</v>
      </c>
      <c r="V3570" s="470">
        <f>V3554</f>
        <v>2211</v>
      </c>
      <c r="W3570" s="471" t="s">
        <v>438</v>
      </c>
      <c r="X3570" s="470">
        <f>V3570*S3570</f>
        <v>7196.8049999999994</v>
      </c>
      <c r="Y3570" s="470"/>
    </row>
    <row r="3571" spans="6:25" ht="24" customHeight="1">
      <c r="G3571" s="28"/>
      <c r="I3571" s="32"/>
      <c r="J3571" s="28"/>
      <c r="S3571" s="470">
        <f>V3569</f>
        <v>3.2549999999999999</v>
      </c>
      <c r="T3571" s="471" t="s">
        <v>438</v>
      </c>
      <c r="U3571" s="470" t="s">
        <v>2717</v>
      </c>
      <c r="V3571" s="470">
        <f t="shared" ref="V3571:V3579" si="325">V3555</f>
        <v>248</v>
      </c>
      <c r="W3571" s="471" t="s">
        <v>438</v>
      </c>
      <c r="X3571" s="470">
        <f t="shared" ref="X3571:X3579" si="326">V3571*S3571</f>
        <v>807.24</v>
      </c>
      <c r="Y3571" s="470"/>
    </row>
    <row r="3572" spans="6:25" ht="35.1" customHeight="1">
      <c r="G3572" s="28"/>
      <c r="H3572" s="482" t="s">
        <v>2735</v>
      </c>
      <c r="I3572" s="32"/>
      <c r="J3572" s="28"/>
      <c r="S3572" s="470">
        <v>4</v>
      </c>
      <c r="T3572" s="471" t="s">
        <v>196</v>
      </c>
      <c r="U3572" s="470" t="s">
        <v>2700</v>
      </c>
      <c r="V3572" s="470">
        <f t="shared" si="325"/>
        <v>50.9</v>
      </c>
      <c r="W3572" s="471" t="s">
        <v>196</v>
      </c>
      <c r="X3572" s="470">
        <f t="shared" si="326"/>
        <v>203.6</v>
      </c>
      <c r="Y3572" s="470"/>
    </row>
    <row r="3573" spans="6:25" ht="35.1" customHeight="1">
      <c r="F3573" s="28">
        <v>70</v>
      </c>
      <c r="G3573" s="29" t="s">
        <v>1125</v>
      </c>
      <c r="H3573" s="135" t="s">
        <v>2736</v>
      </c>
      <c r="I3573" s="139">
        <f>P1353</f>
        <v>33</v>
      </c>
      <c r="J3573" s="31" t="s">
        <v>2737</v>
      </c>
      <c r="K3573" s="28">
        <f>I3573*F3573</f>
        <v>2310</v>
      </c>
      <c r="S3573" s="470">
        <v>12</v>
      </c>
      <c r="T3573" s="471" t="s">
        <v>196</v>
      </c>
      <c r="U3573" s="470" t="s">
        <v>2702</v>
      </c>
      <c r="V3573" s="470">
        <f t="shared" si="325"/>
        <v>79.099999999999994</v>
      </c>
      <c r="W3573" s="471" t="s">
        <v>196</v>
      </c>
      <c r="X3573" s="470">
        <f t="shared" si="326"/>
        <v>949.19999999999993</v>
      </c>
      <c r="Y3573" s="470"/>
    </row>
    <row r="3574" spans="6:25" ht="35.1" customHeight="1">
      <c r="F3574" s="28">
        <v>0.3</v>
      </c>
      <c r="G3574" s="29" t="s">
        <v>475</v>
      </c>
      <c r="H3574" s="135" t="s">
        <v>2738</v>
      </c>
      <c r="I3574" s="139">
        <f>P1355</f>
        <v>17600</v>
      </c>
      <c r="J3574" s="31" t="s">
        <v>2739</v>
      </c>
      <c r="K3574" s="28">
        <f>I3574*F3574</f>
        <v>5280</v>
      </c>
      <c r="S3574" s="470">
        <v>3</v>
      </c>
      <c r="T3574" s="471" t="s">
        <v>196</v>
      </c>
      <c r="U3574" s="470" t="s">
        <v>2704</v>
      </c>
      <c r="V3574" s="470">
        <f t="shared" si="325"/>
        <v>57.2</v>
      </c>
      <c r="W3574" s="471" t="s">
        <v>196</v>
      </c>
      <c r="X3574" s="470">
        <f t="shared" si="326"/>
        <v>171.60000000000002</v>
      </c>
      <c r="Y3574" s="470"/>
    </row>
    <row r="3575" spans="6:25" ht="35.1" customHeight="1">
      <c r="H3575" s="28" t="s">
        <v>2740</v>
      </c>
      <c r="K3575" s="28">
        <f>SUM(K3573:K3574)</f>
        <v>7590</v>
      </c>
      <c r="S3575" s="470">
        <v>1</v>
      </c>
      <c r="T3575" s="471" t="s">
        <v>196</v>
      </c>
      <c r="U3575" s="470" t="s">
        <v>2662</v>
      </c>
      <c r="V3575" s="470">
        <f t="shared" si="325"/>
        <v>159.69999999999999</v>
      </c>
      <c r="W3575" s="471" t="s">
        <v>196</v>
      </c>
      <c r="X3575" s="470">
        <f t="shared" si="326"/>
        <v>159.69999999999999</v>
      </c>
      <c r="Y3575" s="470"/>
    </row>
    <row r="3576" spans="6:25" ht="35.1" customHeight="1">
      <c r="H3576" s="41" t="s">
        <v>2741</v>
      </c>
      <c r="I3576" s="41"/>
      <c r="J3576" s="86"/>
      <c r="K3576" s="41">
        <f>K3575/10</f>
        <v>759</v>
      </c>
      <c r="S3576" s="470">
        <v>162</v>
      </c>
      <c r="T3576" s="471" t="s">
        <v>196</v>
      </c>
      <c r="U3576" s="470" t="s">
        <v>2699</v>
      </c>
      <c r="V3576" s="470">
        <f t="shared" si="325"/>
        <v>2.37</v>
      </c>
      <c r="W3576" s="471" t="s">
        <v>196</v>
      </c>
      <c r="X3576" s="470">
        <f t="shared" si="326"/>
        <v>383.94</v>
      </c>
      <c r="Y3576" s="470"/>
    </row>
    <row r="3577" spans="6:25" ht="35.1" customHeight="1">
      <c r="F3577" s="28">
        <v>1</v>
      </c>
      <c r="G3577" s="29" t="s">
        <v>2742</v>
      </c>
      <c r="H3577" s="28" t="s">
        <v>2743</v>
      </c>
      <c r="I3577" s="28">
        <f>K3576</f>
        <v>759</v>
      </c>
      <c r="J3577" s="31" t="s">
        <v>2742</v>
      </c>
      <c r="K3577" s="28">
        <f>I3577*F3577</f>
        <v>759</v>
      </c>
      <c r="S3577" s="470">
        <v>2</v>
      </c>
      <c r="T3577" s="471" t="s">
        <v>196</v>
      </c>
      <c r="U3577" s="470" t="s">
        <v>2707</v>
      </c>
      <c r="V3577" s="470">
        <f t="shared" si="325"/>
        <v>22.7</v>
      </c>
      <c r="W3577" s="471" t="s">
        <v>196</v>
      </c>
      <c r="X3577" s="470">
        <f t="shared" si="326"/>
        <v>45.4</v>
      </c>
      <c r="Y3577" s="470"/>
    </row>
    <row r="3578" spans="6:25" ht="35.1" customHeight="1">
      <c r="F3578" s="28">
        <v>2</v>
      </c>
      <c r="G3578" s="29" t="s">
        <v>969</v>
      </c>
      <c r="H3578" s="135" t="s">
        <v>2147</v>
      </c>
      <c r="I3578" s="139">
        <f>I2349</f>
        <v>702.8</v>
      </c>
      <c r="J3578" s="31" t="s">
        <v>793</v>
      </c>
      <c r="K3578" s="28">
        <f>I3578*F3578</f>
        <v>1405.6</v>
      </c>
      <c r="S3578" s="470">
        <v>2</v>
      </c>
      <c r="T3578" s="471" t="s">
        <v>196</v>
      </c>
      <c r="U3578" s="470" t="s">
        <v>2703</v>
      </c>
      <c r="V3578" s="470">
        <f t="shared" si="325"/>
        <v>43.8</v>
      </c>
      <c r="W3578" s="471" t="s">
        <v>196</v>
      </c>
      <c r="X3578" s="470">
        <f t="shared" si="326"/>
        <v>87.6</v>
      </c>
      <c r="Y3578" s="470"/>
    </row>
    <row r="3579" spans="6:25" ht="35.1" customHeight="1">
      <c r="H3579" s="28" t="s">
        <v>2744</v>
      </c>
      <c r="K3579" s="28">
        <v>10.3</v>
      </c>
      <c r="S3579" s="477">
        <v>0.73</v>
      </c>
      <c r="T3579" s="478" t="s">
        <v>438</v>
      </c>
      <c r="U3579" s="473" t="s">
        <v>2722</v>
      </c>
      <c r="V3579" s="470">
        <f t="shared" si="325"/>
        <v>244.32330000000002</v>
      </c>
      <c r="W3579" s="478" t="s">
        <v>438</v>
      </c>
      <c r="X3579" s="473">
        <f t="shared" si="326"/>
        <v>178.356009</v>
      </c>
      <c r="Y3579" s="473"/>
    </row>
    <row r="3580" spans="6:25" ht="35.1" customHeight="1">
      <c r="H3580" s="28" t="s">
        <v>2745</v>
      </c>
      <c r="K3580" s="28">
        <f>SUM(K3577:K3579)</f>
        <v>2174.9</v>
      </c>
      <c r="S3580" s="470"/>
      <c r="T3580" s="471"/>
      <c r="U3580" s="470" t="s">
        <v>2709</v>
      </c>
      <c r="V3580" s="470"/>
      <c r="W3580" s="472"/>
      <c r="X3580" s="470">
        <f>SUM(X3570:X3579)</f>
        <v>10183.441009</v>
      </c>
      <c r="Y3580" s="470"/>
    </row>
    <row r="3581" spans="6:25" s="41" customFormat="1" ht="35.1" customHeight="1">
      <c r="G3581" s="101"/>
      <c r="H3581" s="41" t="s">
        <v>2746</v>
      </c>
      <c r="J3581" s="86"/>
      <c r="K3581" s="41">
        <f>K3580/6</f>
        <v>362.48333333333335</v>
      </c>
      <c r="S3581" s="470"/>
      <c r="T3581" s="471"/>
      <c r="U3581" s="470" t="s">
        <v>2204</v>
      </c>
      <c r="V3581" s="470"/>
      <c r="W3581" s="472"/>
      <c r="X3581" s="470">
        <f>X3580/S3571</f>
        <v>3128.5533053763443</v>
      </c>
      <c r="Y3581" s="470"/>
    </row>
    <row r="3582" spans="6:25" ht="35.1" customHeight="1">
      <c r="H3582" s="41" t="s">
        <v>2747</v>
      </c>
    </row>
    <row r="3583" spans="6:25" ht="35.1" customHeight="1">
      <c r="F3583" s="28">
        <v>49</v>
      </c>
      <c r="G3583" s="29" t="s">
        <v>2748</v>
      </c>
      <c r="H3583" s="28" t="s">
        <v>2749</v>
      </c>
      <c r="I3583" s="28">
        <f>I3573</f>
        <v>33</v>
      </c>
      <c r="J3583" s="31" t="s">
        <v>2737</v>
      </c>
      <c r="K3583" s="28">
        <f>F3583*I3583</f>
        <v>1617</v>
      </c>
      <c r="S3583" s="470"/>
      <c r="T3583" s="471"/>
      <c r="U3583" s="470" t="s">
        <v>2750</v>
      </c>
      <c r="V3583" s="470"/>
      <c r="W3583" s="472"/>
    </row>
    <row r="3584" spans="6:25" ht="35.1" customHeight="1">
      <c r="F3584" s="28">
        <v>0.3</v>
      </c>
      <c r="G3584" s="29" t="s">
        <v>475</v>
      </c>
      <c r="H3584" s="28" t="s">
        <v>2751</v>
      </c>
      <c r="I3584" s="28">
        <f>I3574</f>
        <v>17600</v>
      </c>
      <c r="J3584" s="31" t="s">
        <v>475</v>
      </c>
      <c r="K3584" s="28">
        <f>F3584*I3584</f>
        <v>5280</v>
      </c>
      <c r="S3584" s="28"/>
      <c r="T3584" s="29"/>
      <c r="U3584" s="223" t="s">
        <v>2752</v>
      </c>
      <c r="V3584" s="470">
        <f>1.7*2.325</f>
        <v>3.9525000000000001</v>
      </c>
      <c r="W3584" s="31"/>
    </row>
    <row r="3585" spans="6:25" ht="35.1" customHeight="1">
      <c r="H3585" s="41" t="s">
        <v>2753</v>
      </c>
      <c r="K3585" s="41">
        <f>SUM(K3583:K3584)</f>
        <v>6897</v>
      </c>
      <c r="S3585" s="470">
        <f>V3584</f>
        <v>3.9525000000000001</v>
      </c>
      <c r="T3585" s="471" t="s">
        <v>438</v>
      </c>
      <c r="U3585" s="470" t="s">
        <v>2714</v>
      </c>
      <c r="V3585" s="470">
        <f>V3570</f>
        <v>2211</v>
      </c>
      <c r="W3585" s="471" t="s">
        <v>438</v>
      </c>
      <c r="X3585" s="470">
        <f>V3585*S3585</f>
        <v>8738.9775000000009</v>
      </c>
      <c r="Y3585" s="470"/>
    </row>
    <row r="3586" spans="6:25" ht="35.1" customHeight="1">
      <c r="H3586" s="41" t="s">
        <v>2741</v>
      </c>
      <c r="K3586" s="41">
        <f>K3585/10</f>
        <v>689.7</v>
      </c>
      <c r="S3586" s="470">
        <f>S3585</f>
        <v>3.9525000000000001</v>
      </c>
      <c r="T3586" s="471" t="s">
        <v>438</v>
      </c>
      <c r="U3586" s="470" t="s">
        <v>2717</v>
      </c>
      <c r="V3586" s="470">
        <f t="shared" ref="V3586:V3593" si="327">V3571</f>
        <v>248</v>
      </c>
      <c r="W3586" s="471" t="s">
        <v>438</v>
      </c>
      <c r="X3586" s="470">
        <f t="shared" ref="X3586:X3594" si="328">V3586*S3586</f>
        <v>980.22</v>
      </c>
      <c r="Y3586" s="470"/>
    </row>
    <row r="3587" spans="6:25" ht="35.1" customHeight="1">
      <c r="F3587" s="28">
        <v>2</v>
      </c>
      <c r="G3587" s="29" t="s">
        <v>1820</v>
      </c>
      <c r="H3587" s="139" t="s">
        <v>2147</v>
      </c>
      <c r="I3587" s="28">
        <f>I3578</f>
        <v>702.8</v>
      </c>
      <c r="J3587" s="31" t="s">
        <v>1820</v>
      </c>
      <c r="K3587" s="28">
        <f>F3587*I3587</f>
        <v>1405.6</v>
      </c>
      <c r="S3587" s="470">
        <v>4</v>
      </c>
      <c r="T3587" s="471" t="s">
        <v>196</v>
      </c>
      <c r="U3587" s="470" t="s">
        <v>2700</v>
      </c>
      <c r="V3587" s="470">
        <f t="shared" si="327"/>
        <v>50.9</v>
      </c>
      <c r="W3587" s="471" t="s">
        <v>196</v>
      </c>
      <c r="X3587" s="470">
        <f t="shared" si="328"/>
        <v>203.6</v>
      </c>
      <c r="Y3587" s="470"/>
    </row>
    <row r="3588" spans="6:25" ht="35.1" customHeight="1">
      <c r="H3588" s="139" t="s">
        <v>2754</v>
      </c>
      <c r="K3588" s="28">
        <v>4.3499999999999996</v>
      </c>
      <c r="S3588" s="470">
        <v>10</v>
      </c>
      <c r="T3588" s="471" t="s">
        <v>196</v>
      </c>
      <c r="U3588" s="470" t="s">
        <v>2702</v>
      </c>
      <c r="V3588" s="470">
        <f t="shared" si="327"/>
        <v>79.099999999999994</v>
      </c>
      <c r="W3588" s="471" t="s">
        <v>196</v>
      </c>
      <c r="X3588" s="470">
        <f t="shared" si="328"/>
        <v>791</v>
      </c>
      <c r="Y3588" s="470"/>
    </row>
    <row r="3589" spans="6:25" ht="35.1" customHeight="1">
      <c r="H3589" s="139" t="s">
        <v>2755</v>
      </c>
      <c r="K3589" s="28">
        <f>SUM(K3586:K3588)</f>
        <v>2099.65</v>
      </c>
      <c r="S3589" s="470">
        <v>3</v>
      </c>
      <c r="T3589" s="471" t="s">
        <v>196</v>
      </c>
      <c r="U3589" s="470" t="s">
        <v>2704</v>
      </c>
      <c r="V3589" s="470">
        <f t="shared" si="327"/>
        <v>57.2</v>
      </c>
      <c r="W3589" s="471" t="s">
        <v>196</v>
      </c>
      <c r="X3589" s="470">
        <f t="shared" si="328"/>
        <v>171.60000000000002</v>
      </c>
      <c r="Y3589" s="470"/>
    </row>
    <row r="3590" spans="6:25" ht="35.1" customHeight="1">
      <c r="H3590" s="41" t="s">
        <v>2756</v>
      </c>
      <c r="I3590" s="41"/>
      <c r="J3590" s="86"/>
      <c r="K3590" s="41">
        <f>K3589/6</f>
        <v>349.94166666666666</v>
      </c>
      <c r="S3590" s="470">
        <v>1</v>
      </c>
      <c r="T3590" s="471" t="s">
        <v>196</v>
      </c>
      <c r="U3590" s="470" t="s">
        <v>2662</v>
      </c>
      <c r="V3590" s="470">
        <f t="shared" si="327"/>
        <v>159.69999999999999</v>
      </c>
      <c r="W3590" s="471" t="s">
        <v>196</v>
      </c>
      <c r="X3590" s="470">
        <f t="shared" si="328"/>
        <v>159.69999999999999</v>
      </c>
      <c r="Y3590" s="470"/>
    </row>
    <row r="3591" spans="6:25" s="41" customFormat="1" ht="35.1" customHeight="1">
      <c r="G3591" s="101"/>
      <c r="H3591" s="139" t="s">
        <v>2757</v>
      </c>
      <c r="I3591" s="139"/>
      <c r="J3591" s="172"/>
      <c r="K3591" s="139">
        <f>K3581</f>
        <v>362.48333333333335</v>
      </c>
      <c r="S3591" s="470">
        <v>118</v>
      </c>
      <c r="T3591" s="471" t="s">
        <v>196</v>
      </c>
      <c r="U3591" s="470" t="s">
        <v>2699</v>
      </c>
      <c r="V3591" s="470">
        <f t="shared" si="327"/>
        <v>2.37</v>
      </c>
      <c r="W3591" s="471" t="s">
        <v>196</v>
      </c>
      <c r="X3591" s="470">
        <f t="shared" si="328"/>
        <v>279.66000000000003</v>
      </c>
      <c r="Y3591" s="470"/>
    </row>
    <row r="3592" spans="6:25" s="41" customFormat="1" ht="35.1" customHeight="1">
      <c r="G3592" s="101"/>
      <c r="H3592" s="139" t="s">
        <v>2758</v>
      </c>
      <c r="I3592" s="139">
        <f>K3591</f>
        <v>362.48333333333335</v>
      </c>
      <c r="J3592" s="172">
        <f>K3590</f>
        <v>349.94166666666666</v>
      </c>
      <c r="K3592" s="139">
        <f>SUM(I3592:J3592)</f>
        <v>712.42499999999995</v>
      </c>
      <c r="S3592" s="470">
        <v>2</v>
      </c>
      <c r="T3592" s="471" t="s">
        <v>196</v>
      </c>
      <c r="U3592" s="470" t="s">
        <v>2707</v>
      </c>
      <c r="V3592" s="470">
        <f t="shared" si="327"/>
        <v>22.7</v>
      </c>
      <c r="W3592" s="471" t="s">
        <v>196</v>
      </c>
      <c r="X3592" s="470">
        <f t="shared" si="328"/>
        <v>45.4</v>
      </c>
      <c r="Y3592" s="470"/>
    </row>
    <row r="3593" spans="6:25" s="41" customFormat="1" ht="35.1" customHeight="1">
      <c r="G3593" s="101"/>
      <c r="H3593" s="139" t="s">
        <v>2759</v>
      </c>
      <c r="I3593" s="139">
        <f>K3592</f>
        <v>712.42499999999995</v>
      </c>
      <c r="J3593" s="172">
        <f>J3592</f>
        <v>349.94166666666666</v>
      </c>
      <c r="K3593" s="139">
        <f>SUM(I3593:J3593)</f>
        <v>1062.3666666666666</v>
      </c>
      <c r="S3593" s="470">
        <v>2</v>
      </c>
      <c r="T3593" s="471" t="s">
        <v>196</v>
      </c>
      <c r="U3593" s="470" t="s">
        <v>2703</v>
      </c>
      <c r="V3593" s="470">
        <f t="shared" si="327"/>
        <v>43.8</v>
      </c>
      <c r="W3593" s="471" t="s">
        <v>196</v>
      </c>
      <c r="X3593" s="470">
        <f t="shared" si="328"/>
        <v>87.6</v>
      </c>
      <c r="Y3593" s="470"/>
    </row>
    <row r="3594" spans="6:25" s="41" customFormat="1" ht="35.1" customHeight="1">
      <c r="G3594" s="101"/>
      <c r="H3594" s="139" t="s">
        <v>2760</v>
      </c>
      <c r="I3594" s="139">
        <f>K3593</f>
        <v>1062.3666666666666</v>
      </c>
      <c r="J3594" s="172">
        <f>J3593</f>
        <v>349.94166666666666</v>
      </c>
      <c r="K3594" s="139">
        <f>SUM(I3594:J3594)</f>
        <v>1412.3083333333332</v>
      </c>
      <c r="S3594" s="476"/>
      <c r="T3594" s="471"/>
      <c r="U3594" s="470"/>
      <c r="V3594" s="470"/>
      <c r="W3594" s="471" t="s">
        <v>438</v>
      </c>
      <c r="X3594" s="470">
        <f t="shared" si="328"/>
        <v>0</v>
      </c>
      <c r="Y3594" s="470"/>
    </row>
    <row r="3595" spans="6:25" s="41" customFormat="1" ht="35.1" customHeight="1">
      <c r="G3595" s="101"/>
      <c r="H3595" s="139" t="s">
        <v>2761</v>
      </c>
      <c r="I3595" s="139">
        <f>K3594</f>
        <v>1412.3083333333332</v>
      </c>
      <c r="J3595" s="172">
        <f>J3594</f>
        <v>349.94166666666666</v>
      </c>
      <c r="K3595" s="139">
        <f>SUM(I3595:J3595)</f>
        <v>1762.2499999999998</v>
      </c>
      <c r="S3595" s="470"/>
      <c r="T3595" s="471"/>
      <c r="U3595" s="470" t="s">
        <v>2762</v>
      </c>
      <c r="V3595" s="470"/>
      <c r="W3595" s="472"/>
      <c r="X3595" s="470">
        <f>SUM(X3585:X3594)</f>
        <v>11457.757500000002</v>
      </c>
      <c r="Y3595" s="470"/>
    </row>
    <row r="3596" spans="6:25" ht="24" customHeight="1">
      <c r="S3596" s="470"/>
      <c r="T3596" s="471"/>
      <c r="U3596" s="470" t="s">
        <v>2204</v>
      </c>
      <c r="V3596" s="470"/>
      <c r="W3596" s="472"/>
      <c r="X3596" s="470">
        <f>X3595/S3586</f>
        <v>2898.8633776091083</v>
      </c>
      <c r="Y3596" s="470"/>
    </row>
    <row r="3597" spans="6:25" ht="24" customHeight="1">
      <c r="F3597" s="27"/>
      <c r="G3597" s="38" t="s">
        <v>67</v>
      </c>
      <c r="H3597" s="30" t="s">
        <v>2763</v>
      </c>
      <c r="L3597" s="31"/>
      <c r="S3597" s="28"/>
      <c r="T3597" s="29"/>
      <c r="U3597" s="470"/>
      <c r="W3597" s="31"/>
      <c r="X3597" s="470"/>
      <c r="Y3597" s="470"/>
    </row>
    <row r="3598" spans="6:25" ht="24" customHeight="1">
      <c r="H3598" s="30" t="s">
        <v>2764</v>
      </c>
      <c r="L3598" s="26"/>
    </row>
    <row r="3599" spans="6:25" ht="24" customHeight="1">
      <c r="H3599" s="35" t="s">
        <v>48</v>
      </c>
      <c r="L3599" s="26"/>
    </row>
    <row r="3600" spans="6:25" ht="24" customHeight="1">
      <c r="F3600" s="162">
        <v>7.0699999999999999E-2</v>
      </c>
      <c r="G3600" s="38" t="s">
        <v>475</v>
      </c>
      <c r="H3600" s="26" t="s">
        <v>1392</v>
      </c>
      <c r="I3600" s="40">
        <f>I2814</f>
        <v>99400</v>
      </c>
      <c r="J3600" s="26" t="s">
        <v>93</v>
      </c>
      <c r="K3600" s="40">
        <f t="shared" ref="K3600:K3608" si="329">(F3600*I3600)</f>
        <v>7027.58</v>
      </c>
      <c r="L3600" s="26"/>
      <c r="S3600" s="470"/>
      <c r="T3600" s="471"/>
      <c r="U3600" s="470" t="s">
        <v>2765</v>
      </c>
      <c r="V3600" s="470"/>
      <c r="W3600" s="472"/>
    </row>
    <row r="3601" spans="6:25" ht="24" customHeight="1">
      <c r="F3601" s="162">
        <v>5.16</v>
      </c>
      <c r="G3601" s="38" t="s">
        <v>438</v>
      </c>
      <c r="H3601" s="26" t="s">
        <v>2766</v>
      </c>
      <c r="I3601" s="40">
        <v>537</v>
      </c>
      <c r="J3601" s="26" t="s">
        <v>93</v>
      </c>
      <c r="K3601" s="40">
        <f t="shared" si="329"/>
        <v>2770.92</v>
      </c>
      <c r="L3601" s="26"/>
      <c r="S3601" s="28"/>
      <c r="T3601" s="29"/>
      <c r="U3601" s="223" t="s">
        <v>2767</v>
      </c>
      <c r="V3601" s="470">
        <f>1.7*2.025</f>
        <v>3.4424999999999999</v>
      </c>
      <c r="W3601" s="31"/>
    </row>
    <row r="3602" spans="6:25" ht="24" customHeight="1">
      <c r="F3602" s="162">
        <v>3.6659999999999999</v>
      </c>
      <c r="G3602" s="38" t="s">
        <v>438</v>
      </c>
      <c r="H3602" s="26" t="s">
        <v>2768</v>
      </c>
      <c r="I3602" s="73">
        <f>P1395</f>
        <v>208.8</v>
      </c>
      <c r="J3602" s="26" t="s">
        <v>438</v>
      </c>
      <c r="K3602" s="40">
        <f t="shared" si="329"/>
        <v>765.46080000000006</v>
      </c>
      <c r="L3602" s="26"/>
      <c r="S3602" s="470">
        <f>V3601</f>
        <v>3.4424999999999999</v>
      </c>
      <c r="T3602" s="471" t="s">
        <v>438</v>
      </c>
      <c r="U3602" s="470" t="s">
        <v>2714</v>
      </c>
      <c r="V3602" s="470">
        <f>V3585</f>
        <v>2211</v>
      </c>
      <c r="W3602" s="471" t="s">
        <v>438</v>
      </c>
      <c r="X3602" s="470">
        <f>V3602*S3602</f>
        <v>7611.3674999999994</v>
      </c>
      <c r="Y3602" s="470"/>
    </row>
    <row r="3603" spans="6:25" ht="24" customHeight="1">
      <c r="F3603" s="40">
        <v>22.66</v>
      </c>
      <c r="G3603" s="38" t="s">
        <v>1125</v>
      </c>
      <c r="H3603" s="26" t="s">
        <v>2769</v>
      </c>
      <c r="I3603" s="40">
        <v>14.4</v>
      </c>
      <c r="J3603" s="38" t="s">
        <v>1125</v>
      </c>
      <c r="K3603" s="40">
        <f t="shared" si="329"/>
        <v>326.30400000000003</v>
      </c>
      <c r="L3603" s="26"/>
      <c r="S3603" s="470">
        <f>S3602</f>
        <v>3.4424999999999999</v>
      </c>
      <c r="T3603" s="471" t="s">
        <v>438</v>
      </c>
      <c r="U3603" s="470" t="s">
        <v>2717</v>
      </c>
      <c r="V3603" s="470">
        <f t="shared" ref="V3603:V3610" si="330">V3586</f>
        <v>248</v>
      </c>
      <c r="W3603" s="471" t="s">
        <v>438</v>
      </c>
      <c r="X3603" s="470">
        <f t="shared" ref="X3603:X3611" si="331">V3603*S3603</f>
        <v>853.74</v>
      </c>
      <c r="Y3603" s="470"/>
    </row>
    <row r="3604" spans="6:25" ht="24" customHeight="1">
      <c r="F3604" s="40">
        <v>15</v>
      </c>
      <c r="G3604" s="38" t="s">
        <v>105</v>
      </c>
      <c r="H3604" s="26" t="s">
        <v>1350</v>
      </c>
      <c r="I3604" s="40">
        <v>69.849999999999994</v>
      </c>
      <c r="J3604" s="26" t="s">
        <v>105</v>
      </c>
      <c r="K3604" s="40">
        <f>(F3603*I3604)</f>
        <v>1582.8009999999999</v>
      </c>
      <c r="L3604" s="26"/>
      <c r="S3604" s="470">
        <v>4</v>
      </c>
      <c r="T3604" s="471" t="s">
        <v>196</v>
      </c>
      <c r="U3604" s="470" t="s">
        <v>2700</v>
      </c>
      <c r="V3604" s="470">
        <f t="shared" si="330"/>
        <v>50.9</v>
      </c>
      <c r="W3604" s="471" t="s">
        <v>196</v>
      </c>
      <c r="X3604" s="470">
        <f t="shared" si="331"/>
        <v>203.6</v>
      </c>
      <c r="Y3604" s="470"/>
    </row>
    <row r="3605" spans="6:25" ht="24" customHeight="1">
      <c r="F3605" s="40">
        <v>10</v>
      </c>
      <c r="G3605" s="38" t="s">
        <v>105</v>
      </c>
      <c r="H3605" s="26" t="s">
        <v>2770</v>
      </c>
      <c r="I3605" s="40">
        <v>64.05</v>
      </c>
      <c r="J3605" s="26" t="s">
        <v>105</v>
      </c>
      <c r="K3605" s="40">
        <f>(F3604*I3605)</f>
        <v>960.75</v>
      </c>
      <c r="L3605" s="26"/>
      <c r="S3605" s="470">
        <v>10</v>
      </c>
      <c r="T3605" s="471" t="s">
        <v>196</v>
      </c>
      <c r="U3605" s="470" t="s">
        <v>2702</v>
      </c>
      <c r="V3605" s="470">
        <f t="shared" si="330"/>
        <v>79.099999999999994</v>
      </c>
      <c r="W3605" s="471" t="s">
        <v>196</v>
      </c>
      <c r="X3605" s="470">
        <f t="shared" si="331"/>
        <v>791</v>
      </c>
      <c r="Y3605" s="470"/>
    </row>
    <row r="3606" spans="6:25" ht="24" customHeight="1">
      <c r="F3606" s="40">
        <v>5</v>
      </c>
      <c r="G3606" s="38" t="s">
        <v>105</v>
      </c>
      <c r="H3606" s="26" t="s">
        <v>2771</v>
      </c>
      <c r="I3606" s="40">
        <v>50.6</v>
      </c>
      <c r="J3606" s="26" t="s">
        <v>105</v>
      </c>
      <c r="K3606" s="40">
        <f>(F3607*I3606)</f>
        <v>253</v>
      </c>
      <c r="L3606" s="31"/>
      <c r="S3606" s="470">
        <v>3</v>
      </c>
      <c r="T3606" s="471" t="s">
        <v>196</v>
      </c>
      <c r="U3606" s="470" t="s">
        <v>2704</v>
      </c>
      <c r="V3606" s="470">
        <f t="shared" si="330"/>
        <v>57.2</v>
      </c>
      <c r="W3606" s="471" t="s">
        <v>196</v>
      </c>
      <c r="X3606" s="470">
        <f t="shared" si="331"/>
        <v>171.60000000000002</v>
      </c>
      <c r="Y3606" s="470"/>
    </row>
    <row r="3607" spans="6:25" ht="24" customHeight="1">
      <c r="F3607" s="40">
        <v>5</v>
      </c>
      <c r="G3607" s="38" t="s">
        <v>105</v>
      </c>
      <c r="H3607" s="26" t="s">
        <v>1398</v>
      </c>
      <c r="I3607" s="40">
        <v>7.3</v>
      </c>
      <c r="J3607" s="26" t="s">
        <v>105</v>
      </c>
      <c r="K3607" s="40">
        <f>(F3605*I3607)</f>
        <v>73</v>
      </c>
      <c r="L3607" s="31"/>
      <c r="S3607" s="470">
        <v>1</v>
      </c>
      <c r="T3607" s="471" t="s">
        <v>196</v>
      </c>
      <c r="U3607" s="470" t="s">
        <v>2662</v>
      </c>
      <c r="V3607" s="470">
        <f t="shared" si="330"/>
        <v>159.69999999999999</v>
      </c>
      <c r="W3607" s="471" t="s">
        <v>196</v>
      </c>
      <c r="X3607" s="470">
        <f t="shared" si="331"/>
        <v>159.69999999999999</v>
      </c>
      <c r="Y3607" s="470"/>
    </row>
    <row r="3608" spans="6:25" ht="24" customHeight="1">
      <c r="F3608" s="40">
        <v>10</v>
      </c>
      <c r="H3608" s="26" t="s">
        <v>1352</v>
      </c>
      <c r="I3608" s="40">
        <f>I3430</f>
        <v>2.37</v>
      </c>
      <c r="J3608" s="26" t="s">
        <v>105</v>
      </c>
      <c r="K3608" s="40">
        <f t="shared" si="329"/>
        <v>23.700000000000003</v>
      </c>
      <c r="L3608" s="31"/>
      <c r="S3608" s="470">
        <v>118</v>
      </c>
      <c r="T3608" s="471" t="s">
        <v>196</v>
      </c>
      <c r="U3608" s="470" t="s">
        <v>2699</v>
      </c>
      <c r="V3608" s="470">
        <f t="shared" si="330"/>
        <v>2.37</v>
      </c>
      <c r="W3608" s="471" t="s">
        <v>196</v>
      </c>
      <c r="X3608" s="470">
        <f t="shared" si="331"/>
        <v>279.66000000000003</v>
      </c>
      <c r="Y3608" s="470"/>
    </row>
    <row r="3609" spans="6:25" ht="24" customHeight="1">
      <c r="K3609" s="35" t="s">
        <v>48</v>
      </c>
      <c r="L3609" s="31"/>
      <c r="S3609" s="470">
        <v>2</v>
      </c>
      <c r="T3609" s="471" t="s">
        <v>196</v>
      </c>
      <c r="U3609" s="470" t="s">
        <v>2707</v>
      </c>
      <c r="V3609" s="470">
        <f t="shared" si="330"/>
        <v>22.7</v>
      </c>
      <c r="W3609" s="471" t="s">
        <v>196</v>
      </c>
      <c r="X3609" s="470">
        <f t="shared" si="331"/>
        <v>45.4</v>
      </c>
      <c r="Y3609" s="470"/>
    </row>
    <row r="3610" spans="6:25" ht="24" customHeight="1">
      <c r="H3610" s="27" t="s">
        <v>2772</v>
      </c>
      <c r="K3610" s="40">
        <f>SUM(K3596:K3608)</f>
        <v>13783.515800000001</v>
      </c>
      <c r="L3610" s="31"/>
      <c r="S3610" s="470">
        <v>2</v>
      </c>
      <c r="T3610" s="471" t="s">
        <v>196</v>
      </c>
      <c r="U3610" s="470" t="s">
        <v>2703</v>
      </c>
      <c r="V3610" s="470">
        <f t="shared" si="330"/>
        <v>43.8</v>
      </c>
      <c r="W3610" s="471" t="s">
        <v>196</v>
      </c>
      <c r="X3610" s="470">
        <f t="shared" si="331"/>
        <v>87.6</v>
      </c>
      <c r="Y3610" s="470"/>
    </row>
    <row r="3611" spans="6:25" ht="24" customHeight="1">
      <c r="K3611" s="35" t="s">
        <v>48</v>
      </c>
      <c r="L3611" s="31"/>
      <c r="S3611" s="476"/>
      <c r="T3611" s="471"/>
      <c r="U3611" s="470"/>
      <c r="V3611" s="470"/>
      <c r="W3611" s="471" t="s">
        <v>438</v>
      </c>
      <c r="X3611" s="470">
        <f t="shared" si="331"/>
        <v>0</v>
      </c>
      <c r="Y3611" s="470"/>
    </row>
    <row r="3612" spans="6:25" ht="24" customHeight="1">
      <c r="H3612" s="42" t="s">
        <v>403</v>
      </c>
      <c r="I3612" s="26" t="s">
        <v>27</v>
      </c>
      <c r="K3612" s="39">
        <f>K3610/F3601</f>
        <v>2671.2239922480621</v>
      </c>
      <c r="S3612" s="470"/>
      <c r="T3612" s="471"/>
      <c r="U3612" s="470" t="s">
        <v>2773</v>
      </c>
      <c r="V3612" s="470"/>
      <c r="W3612" s="472"/>
      <c r="X3612" s="470">
        <f>SUM(X3602:X3611)</f>
        <v>10203.667500000001</v>
      </c>
      <c r="Y3612" s="470"/>
    </row>
    <row r="3613" spans="6:25" ht="24" customHeight="1">
      <c r="K3613" s="35" t="s">
        <v>41</v>
      </c>
      <c r="S3613" s="470"/>
      <c r="T3613" s="471"/>
      <c r="U3613" s="470" t="s">
        <v>2204</v>
      </c>
      <c r="V3613" s="470"/>
      <c r="W3613" s="472"/>
      <c r="X3613" s="470">
        <f>X3612/S3603</f>
        <v>2964.0283224400878</v>
      </c>
      <c r="Y3613" s="470"/>
    </row>
    <row r="3614" spans="6:25" ht="24" customHeight="1">
      <c r="F3614" s="27" t="s">
        <v>1406</v>
      </c>
      <c r="G3614" s="38" t="s">
        <v>67</v>
      </c>
      <c r="H3614" s="26" t="s">
        <v>2774</v>
      </c>
      <c r="S3614" s="28"/>
    </row>
    <row r="3615" spans="6:25" ht="24" customHeight="1">
      <c r="H3615" s="26" t="s">
        <v>2775</v>
      </c>
      <c r="S3615" s="470"/>
      <c r="T3615" s="471"/>
      <c r="U3615" s="470" t="s">
        <v>2776</v>
      </c>
      <c r="V3615" s="470"/>
      <c r="W3615" s="472"/>
    </row>
    <row r="3616" spans="6:25" ht="18.75" customHeight="1">
      <c r="H3616" s="35" t="s">
        <v>48</v>
      </c>
      <c r="S3616" s="28"/>
      <c r="T3616" s="29"/>
      <c r="U3616" s="223" t="s">
        <v>2777</v>
      </c>
      <c r="W3616" s="31">
        <f>1.1*2.025</f>
        <v>2.2275</v>
      </c>
    </row>
    <row r="3617" spans="6:25" ht="18.75" customHeight="1">
      <c r="H3617" s="214" t="s">
        <v>2778</v>
      </c>
      <c r="I3617" s="360" t="s">
        <v>41</v>
      </c>
      <c r="J3617" s="444">
        <f>0.65*0.65</f>
        <v>0.42250000000000004</v>
      </c>
      <c r="K3617" s="356" t="s">
        <v>788</v>
      </c>
      <c r="S3617" s="470">
        <f>W3616</f>
        <v>2.2275</v>
      </c>
      <c r="T3617" s="471" t="s">
        <v>438</v>
      </c>
      <c r="U3617" s="470" t="s">
        <v>2714</v>
      </c>
      <c r="V3617" s="470">
        <f>V3538</f>
        <v>2211</v>
      </c>
      <c r="W3617" s="471" t="s">
        <v>438</v>
      </c>
      <c r="X3617" s="470">
        <f>V3617*S3617</f>
        <v>4925.0025000000005</v>
      </c>
      <c r="Y3617" s="470"/>
    </row>
    <row r="3618" spans="6:25" ht="18.75" customHeight="1">
      <c r="H3618" s="214"/>
      <c r="I3618" s="360"/>
      <c r="J3618" s="443"/>
      <c r="K3618" s="356"/>
      <c r="S3618" s="470">
        <f>S3617</f>
        <v>2.2275</v>
      </c>
      <c r="T3618" s="471" t="s">
        <v>438</v>
      </c>
      <c r="U3618" s="470" t="s">
        <v>2717</v>
      </c>
      <c r="V3618" s="470">
        <f>P3543</f>
        <v>122</v>
      </c>
      <c r="W3618" s="471" t="s">
        <v>438</v>
      </c>
      <c r="X3618" s="470">
        <f>V3618*S3618</f>
        <v>271.755</v>
      </c>
      <c r="Y3618" s="470"/>
    </row>
    <row r="3619" spans="6:25" ht="18.75" customHeight="1">
      <c r="H3619" s="214" t="s">
        <v>2779</v>
      </c>
      <c r="I3619" s="360" t="s">
        <v>41</v>
      </c>
      <c r="J3619" s="444">
        <v>5.1999999999999998E-2</v>
      </c>
      <c r="K3619" s="356" t="s">
        <v>249</v>
      </c>
      <c r="S3619" s="470">
        <v>2</v>
      </c>
      <c r="T3619" s="471" t="s">
        <v>196</v>
      </c>
      <c r="U3619" s="470" t="s">
        <v>2700</v>
      </c>
      <c r="V3619" s="470">
        <f t="shared" ref="V3619:V3625" si="332">V3604</f>
        <v>50.9</v>
      </c>
      <c r="W3619" s="471" t="s">
        <v>196</v>
      </c>
      <c r="X3619" s="470">
        <f>V3618*S3619</f>
        <v>244</v>
      </c>
      <c r="Y3619" s="470"/>
    </row>
    <row r="3620" spans="6:25" ht="18.75" customHeight="1">
      <c r="H3620" s="214" t="s">
        <v>2543</v>
      </c>
      <c r="J3620" s="445"/>
      <c r="K3620" s="356"/>
      <c r="S3620" s="470">
        <v>5</v>
      </c>
      <c r="T3620" s="471" t="s">
        <v>196</v>
      </c>
      <c r="U3620" s="470" t="s">
        <v>2702</v>
      </c>
      <c r="V3620" s="470">
        <f t="shared" si="332"/>
        <v>79.099999999999994</v>
      </c>
      <c r="W3620" s="471" t="s">
        <v>196</v>
      </c>
      <c r="X3620" s="470">
        <f>V3619*S3620</f>
        <v>254.5</v>
      </c>
      <c r="Y3620" s="470"/>
    </row>
    <row r="3621" spans="6:25" ht="18.75" customHeight="1">
      <c r="H3621" s="214" t="s">
        <v>2780</v>
      </c>
      <c r="I3621" s="360" t="s">
        <v>41</v>
      </c>
      <c r="J3621" s="446">
        <v>1.772E-2</v>
      </c>
      <c r="K3621" s="356"/>
      <c r="S3621" s="470">
        <v>2</v>
      </c>
      <c r="T3621" s="471" t="s">
        <v>196</v>
      </c>
      <c r="U3621" s="470" t="s">
        <v>2704</v>
      </c>
      <c r="V3621" s="470">
        <f t="shared" si="332"/>
        <v>57.2</v>
      </c>
      <c r="W3621" s="471" t="s">
        <v>196</v>
      </c>
      <c r="X3621" s="470">
        <f>V3620*S3621</f>
        <v>158.19999999999999</v>
      </c>
      <c r="Y3621" s="470"/>
    </row>
    <row r="3622" spans="6:25" ht="18.75" customHeight="1">
      <c r="H3622" s="35"/>
      <c r="S3622" s="470">
        <v>1</v>
      </c>
      <c r="T3622" s="471" t="s">
        <v>196</v>
      </c>
      <c r="U3622" s="470" t="s">
        <v>2662</v>
      </c>
      <c r="V3622" s="470">
        <f t="shared" si="332"/>
        <v>159.69999999999999</v>
      </c>
      <c r="W3622" s="471" t="s">
        <v>196</v>
      </c>
      <c r="X3622" s="470">
        <f>V3621*S3622</f>
        <v>57.2</v>
      </c>
      <c r="Y3622" s="470"/>
    </row>
    <row r="3623" spans="6:25" ht="24" customHeight="1">
      <c r="F3623" s="162">
        <v>5.3E-3</v>
      </c>
      <c r="G3623" s="38" t="s">
        <v>475</v>
      </c>
      <c r="H3623" s="26" t="s">
        <v>1392</v>
      </c>
      <c r="I3623" s="40">
        <f>C2604</f>
        <v>0</v>
      </c>
      <c r="J3623" s="26" t="s">
        <v>93</v>
      </c>
      <c r="K3623" s="40">
        <f t="shared" ref="K3623:K3629" si="333">(F3623*I3623)</f>
        <v>0</v>
      </c>
      <c r="S3623" s="470">
        <v>92</v>
      </c>
      <c r="T3623" s="471" t="s">
        <v>196</v>
      </c>
      <c r="U3623" s="470" t="s">
        <v>2699</v>
      </c>
      <c r="V3623" s="470">
        <f t="shared" si="332"/>
        <v>2.37</v>
      </c>
      <c r="W3623" s="471" t="s">
        <v>196</v>
      </c>
      <c r="X3623" s="470">
        <f>V3623*S3623</f>
        <v>218.04000000000002</v>
      </c>
      <c r="Y3623" s="470"/>
    </row>
    <row r="3624" spans="6:25" ht="24" customHeight="1">
      <c r="F3624" s="162">
        <v>0.27450000000000002</v>
      </c>
      <c r="G3624" s="38" t="s">
        <v>438</v>
      </c>
      <c r="H3624" s="26" t="str">
        <f>H3602</f>
        <v>4 mm thicj frosted glass</v>
      </c>
      <c r="I3624" s="40">
        <f>I3602</f>
        <v>208.8</v>
      </c>
      <c r="J3624" s="26" t="s">
        <v>93</v>
      </c>
      <c r="K3624" s="40">
        <f t="shared" si="333"/>
        <v>57.315600000000011</v>
      </c>
      <c r="S3624" s="470">
        <v>1</v>
      </c>
      <c r="T3624" s="471" t="s">
        <v>196</v>
      </c>
      <c r="U3624" s="470" t="s">
        <v>2707</v>
      </c>
      <c r="V3624" s="470">
        <f t="shared" si="332"/>
        <v>22.7</v>
      </c>
      <c r="W3624" s="471" t="s">
        <v>196</v>
      </c>
      <c r="X3624" s="470">
        <f>V3623*S3624</f>
        <v>2.37</v>
      </c>
      <c r="Y3624" s="470"/>
    </row>
    <row r="3625" spans="6:25" ht="24" customHeight="1">
      <c r="F3625" s="162">
        <v>0.4</v>
      </c>
      <c r="G3625" s="38" t="s">
        <v>438</v>
      </c>
      <c r="H3625" s="26" t="s">
        <v>457</v>
      </c>
      <c r="I3625" s="40">
        <f>D2547</f>
        <v>0</v>
      </c>
      <c r="J3625" s="26" t="s">
        <v>438</v>
      </c>
      <c r="K3625" s="40">
        <f t="shared" si="333"/>
        <v>0</v>
      </c>
      <c r="S3625" s="470">
        <v>1</v>
      </c>
      <c r="T3625" s="471" t="s">
        <v>196</v>
      </c>
      <c r="U3625" s="470" t="s">
        <v>2703</v>
      </c>
      <c r="V3625" s="470">
        <f t="shared" si="332"/>
        <v>43.8</v>
      </c>
      <c r="W3625" s="471" t="s">
        <v>196</v>
      </c>
      <c r="X3625" s="470">
        <f>V3624*S3625</f>
        <v>22.7</v>
      </c>
      <c r="Y3625" s="470"/>
    </row>
    <row r="3626" spans="6:25" ht="24" customHeight="1">
      <c r="F3626" s="40">
        <v>2</v>
      </c>
      <c r="G3626" s="38" t="s">
        <v>1409</v>
      </c>
      <c r="H3626" s="26" t="s">
        <v>1410</v>
      </c>
      <c r="I3626" s="40">
        <f>C2820</f>
        <v>0</v>
      </c>
      <c r="J3626" s="26" t="s">
        <v>1409</v>
      </c>
      <c r="K3626" s="40">
        <f t="shared" si="333"/>
        <v>0</v>
      </c>
      <c r="S3626" s="476"/>
      <c r="T3626" s="471" t="s">
        <v>438</v>
      </c>
      <c r="U3626" s="470"/>
      <c r="W3626" s="471" t="s">
        <v>438</v>
      </c>
      <c r="X3626" s="470">
        <f>V3625*S3626</f>
        <v>0</v>
      </c>
      <c r="Y3626" s="470"/>
    </row>
    <row r="3627" spans="6:25" ht="24" customHeight="1">
      <c r="F3627" s="40">
        <v>1</v>
      </c>
      <c r="G3627" s="38" t="s">
        <v>105</v>
      </c>
      <c r="H3627" s="26" t="s">
        <v>1411</v>
      </c>
      <c r="I3627" s="40">
        <f>C2808</f>
        <v>0</v>
      </c>
      <c r="J3627" s="26" t="s">
        <v>105</v>
      </c>
      <c r="K3627" s="40">
        <f t="shared" si="333"/>
        <v>0</v>
      </c>
      <c r="S3627" s="470"/>
      <c r="T3627" s="471"/>
      <c r="U3627" s="470" t="s">
        <v>2706</v>
      </c>
      <c r="V3627" s="470"/>
      <c r="W3627" s="472"/>
      <c r="X3627" s="470">
        <f>SUM(X3617:X3626)</f>
        <v>6153.7674999999999</v>
      </c>
      <c r="Y3627" s="470"/>
    </row>
    <row r="3628" spans="6:25" ht="24" customHeight="1">
      <c r="F3628" s="40">
        <v>1</v>
      </c>
      <c r="G3628" s="38" t="s">
        <v>105</v>
      </c>
      <c r="H3628" s="26" t="s">
        <v>1412</v>
      </c>
      <c r="I3628" s="40">
        <f>C2806</f>
        <v>0</v>
      </c>
      <c r="J3628" s="26" t="s">
        <v>105</v>
      </c>
      <c r="K3628" s="40">
        <f t="shared" si="333"/>
        <v>0</v>
      </c>
      <c r="S3628" s="470"/>
      <c r="T3628" s="471"/>
      <c r="U3628" s="470" t="s">
        <v>2204</v>
      </c>
      <c r="V3628" s="470"/>
      <c r="W3628" s="472"/>
      <c r="X3628" s="470">
        <f>X3627/S3618</f>
        <v>2762.6341189674522</v>
      </c>
      <c r="Y3628" s="470"/>
    </row>
    <row r="3629" spans="6:25" ht="24" customHeight="1">
      <c r="F3629" s="40">
        <v>10</v>
      </c>
      <c r="H3629" s="26" t="s">
        <v>1352</v>
      </c>
      <c r="I3629" s="40">
        <f>I3608</f>
        <v>2.37</v>
      </c>
      <c r="J3629" s="26" t="s">
        <v>105</v>
      </c>
      <c r="K3629" s="40">
        <f t="shared" si="333"/>
        <v>23.700000000000003</v>
      </c>
    </row>
    <row r="3630" spans="6:25" ht="24" customHeight="1">
      <c r="K3630" s="35" t="s">
        <v>48</v>
      </c>
      <c r="S3630" s="28"/>
      <c r="U3630" s="30" t="s">
        <v>1413</v>
      </c>
    </row>
    <row r="3631" spans="6:25" ht="24" customHeight="1">
      <c r="H3631" s="27" t="s">
        <v>1414</v>
      </c>
      <c r="K3631" s="40">
        <f>SUM(K3613:K3629)</f>
        <v>81.015600000000006</v>
      </c>
      <c r="S3631" s="28"/>
      <c r="U3631" s="312" t="s">
        <v>2781</v>
      </c>
    </row>
    <row r="3632" spans="6:25" ht="24" customHeight="1">
      <c r="K3632" s="35" t="s">
        <v>48</v>
      </c>
      <c r="S3632" s="28"/>
    </row>
    <row r="3633" spans="6:25" ht="24" customHeight="1">
      <c r="H3633" s="42" t="s">
        <v>403</v>
      </c>
      <c r="I3633" s="26" t="s">
        <v>27</v>
      </c>
      <c r="K3633" s="39">
        <f>K3631/F3625</f>
        <v>202.53900000000002</v>
      </c>
      <c r="S3633" s="28"/>
    </row>
    <row r="3634" spans="6:25" ht="24" customHeight="1">
      <c r="F3634" s="26" t="s">
        <v>27</v>
      </c>
      <c r="S3634" s="170">
        <v>2.2800000000000001E-2</v>
      </c>
      <c r="T3634" s="171" t="s">
        <v>93</v>
      </c>
      <c r="U3634" s="139" t="s">
        <v>1415</v>
      </c>
      <c r="V3634" s="139">
        <f>V3612</f>
        <v>0</v>
      </c>
      <c r="W3634" s="172" t="s">
        <v>93</v>
      </c>
      <c r="X3634" s="139">
        <f>V3634*S3634</f>
        <v>0</v>
      </c>
      <c r="Y3634" s="139"/>
    </row>
    <row r="3635" spans="6:25" ht="24" customHeight="1">
      <c r="K3635" s="35" t="s">
        <v>41</v>
      </c>
      <c r="S3635" s="170">
        <v>3.5400000000000001E-2</v>
      </c>
      <c r="T3635" s="171" t="s">
        <v>93</v>
      </c>
      <c r="U3635" s="139" t="s">
        <v>1416</v>
      </c>
      <c r="V3635" s="139">
        <f>V3613</f>
        <v>0</v>
      </c>
      <c r="W3635" s="172" t="s">
        <v>93</v>
      </c>
      <c r="X3635" s="139">
        <f t="shared" ref="X3635:X3644" si="334">V3635*S3635</f>
        <v>0</v>
      </c>
      <c r="Y3635" s="139"/>
    </row>
    <row r="3636" spans="6:25" ht="24" customHeight="1">
      <c r="F3636" s="28">
        <v>45</v>
      </c>
      <c r="H3636" s="718" t="s">
        <v>2782</v>
      </c>
      <c r="I3636" s="718"/>
      <c r="J3636" s="718"/>
      <c r="S3636" s="173">
        <v>3.2300000000000002E-2</v>
      </c>
      <c r="T3636" s="171" t="s">
        <v>93</v>
      </c>
      <c r="U3636" s="139" t="s">
        <v>1417</v>
      </c>
      <c r="V3636" s="139">
        <f>V3614</f>
        <v>0</v>
      </c>
      <c r="W3636" s="172" t="s">
        <v>93</v>
      </c>
      <c r="X3636" s="139">
        <f t="shared" si="334"/>
        <v>0</v>
      </c>
      <c r="Y3636" s="139"/>
    </row>
    <row r="3637" spans="6:25" ht="24" customHeight="1">
      <c r="H3637" s="718"/>
      <c r="I3637" s="718"/>
      <c r="J3637" s="718"/>
      <c r="S3637" s="174">
        <v>2.835</v>
      </c>
      <c r="T3637" s="171" t="s">
        <v>438</v>
      </c>
      <c r="U3637" s="139" t="s">
        <v>1418</v>
      </c>
      <c r="V3637" s="139">
        <v>698</v>
      </c>
      <c r="W3637" s="172" t="s">
        <v>438</v>
      </c>
      <c r="X3637" s="139">
        <f t="shared" si="334"/>
        <v>1978.83</v>
      </c>
      <c r="Y3637" s="139"/>
    </row>
    <row r="3638" spans="6:25" ht="24" customHeight="1">
      <c r="S3638" s="139">
        <v>2</v>
      </c>
      <c r="T3638" s="171" t="s">
        <v>1420</v>
      </c>
      <c r="U3638" s="28" t="s">
        <v>2306</v>
      </c>
      <c r="V3638" s="330">
        <v>450</v>
      </c>
      <c r="W3638" s="172" t="s">
        <v>793</v>
      </c>
      <c r="X3638" s="139">
        <f t="shared" si="334"/>
        <v>900</v>
      </c>
      <c r="Y3638" s="139"/>
    </row>
    <row r="3639" spans="6:25" ht="33" customHeight="1">
      <c r="F3639" s="40">
        <v>0.15</v>
      </c>
      <c r="G3639" s="29" t="s">
        <v>93</v>
      </c>
      <c r="H3639" s="276" t="s">
        <v>2783</v>
      </c>
      <c r="I3639" s="105">
        <v>2525.42</v>
      </c>
      <c r="J3639" s="31" t="s">
        <v>93</v>
      </c>
      <c r="K3639" s="28">
        <f t="shared" ref="K3639:K3644" si="335">I3639*F3639</f>
        <v>378.81299999999999</v>
      </c>
      <c r="L3639" s="28">
        <f>89.4/0.0354</f>
        <v>2525.4237288135596</v>
      </c>
      <c r="S3639" s="139">
        <v>6</v>
      </c>
      <c r="T3639" s="171" t="s">
        <v>1420</v>
      </c>
      <c r="U3639" s="28" t="s">
        <v>2307</v>
      </c>
      <c r="V3639" s="330">
        <v>79</v>
      </c>
      <c r="W3639" s="172" t="s">
        <v>793</v>
      </c>
      <c r="X3639" s="139">
        <f t="shared" si="334"/>
        <v>474</v>
      </c>
      <c r="Y3639" s="139"/>
    </row>
    <row r="3640" spans="6:25" ht="24" customHeight="1">
      <c r="F3640" s="107">
        <v>7.1999999999999995E-2</v>
      </c>
      <c r="G3640" s="29" t="s">
        <v>84</v>
      </c>
      <c r="H3640" s="28" t="s">
        <v>85</v>
      </c>
      <c r="I3640" s="28">
        <f>I1645</f>
        <v>5800</v>
      </c>
      <c r="J3640" s="31" t="s">
        <v>84</v>
      </c>
      <c r="K3640" s="28">
        <f t="shared" si="335"/>
        <v>417.59999999999997</v>
      </c>
      <c r="S3640" s="139">
        <v>4</v>
      </c>
      <c r="T3640" s="171" t="s">
        <v>1420</v>
      </c>
      <c r="U3640" s="28" t="s">
        <v>2308</v>
      </c>
      <c r="V3640" s="330">
        <v>130</v>
      </c>
      <c r="W3640" s="172" t="s">
        <v>793</v>
      </c>
      <c r="X3640" s="139">
        <f t="shared" si="334"/>
        <v>520</v>
      </c>
      <c r="Y3640" s="139"/>
    </row>
    <row r="3641" spans="6:25" ht="24" customHeight="1">
      <c r="F3641" s="40">
        <v>1.6</v>
      </c>
      <c r="G3641" s="29" t="s">
        <v>196</v>
      </c>
      <c r="H3641" s="28" t="s">
        <v>298</v>
      </c>
      <c r="I3641" s="28">
        <f>I1646</f>
        <v>1076.5999999999999</v>
      </c>
      <c r="J3641" s="31" t="s">
        <v>196</v>
      </c>
      <c r="K3641" s="28">
        <f t="shared" si="335"/>
        <v>1722.56</v>
      </c>
      <c r="S3641" s="139">
        <v>1</v>
      </c>
      <c r="T3641" s="171" t="s">
        <v>1420</v>
      </c>
      <c r="U3641" s="28" t="s">
        <v>2309</v>
      </c>
      <c r="V3641" s="330">
        <v>985</v>
      </c>
      <c r="W3641" s="172" t="s">
        <v>793</v>
      </c>
      <c r="X3641" s="139">
        <f t="shared" si="334"/>
        <v>985</v>
      </c>
      <c r="Y3641" s="139"/>
    </row>
    <row r="3642" spans="6:25" ht="24" customHeight="1">
      <c r="F3642" s="40">
        <v>0.5</v>
      </c>
      <c r="G3642" s="29" t="s">
        <v>196</v>
      </c>
      <c r="H3642" s="28" t="s">
        <v>271</v>
      </c>
      <c r="I3642" s="28">
        <f>I1647</f>
        <v>702.8</v>
      </c>
      <c r="J3642" s="31" t="s">
        <v>196</v>
      </c>
      <c r="K3642" s="28">
        <f t="shared" si="335"/>
        <v>351.4</v>
      </c>
      <c r="S3642" s="139">
        <v>2</v>
      </c>
      <c r="T3642" s="171" t="s">
        <v>1420</v>
      </c>
      <c r="U3642" s="28" t="s">
        <v>2310</v>
      </c>
      <c r="V3642" s="330">
        <v>24.2</v>
      </c>
      <c r="W3642" s="172" t="s">
        <v>793</v>
      </c>
      <c r="X3642" s="139">
        <f t="shared" si="334"/>
        <v>48.4</v>
      </c>
      <c r="Y3642" s="139"/>
    </row>
    <row r="3643" spans="6:25" ht="24" customHeight="1">
      <c r="F3643" s="40">
        <v>1.1000000000000001</v>
      </c>
      <c r="G3643" s="29" t="s">
        <v>196</v>
      </c>
      <c r="H3643" s="28" t="s">
        <v>276</v>
      </c>
      <c r="I3643" s="28">
        <f>I1648</f>
        <v>576.79999999999995</v>
      </c>
      <c r="J3643" s="31" t="s">
        <v>196</v>
      </c>
      <c r="K3643" s="28">
        <f t="shared" si="335"/>
        <v>634.48</v>
      </c>
      <c r="S3643" s="139">
        <v>2</v>
      </c>
      <c r="T3643" s="171" t="s">
        <v>1420</v>
      </c>
      <c r="U3643" s="139" t="s">
        <v>463</v>
      </c>
      <c r="V3643" s="139">
        <v>48.9</v>
      </c>
      <c r="W3643" s="172" t="s">
        <v>793</v>
      </c>
      <c r="X3643" s="139">
        <f t="shared" si="334"/>
        <v>97.8</v>
      </c>
      <c r="Y3643" s="139"/>
    </row>
    <row r="3644" spans="6:25" ht="24" customHeight="1">
      <c r="F3644" s="40">
        <v>14.5</v>
      </c>
      <c r="G3644" s="29" t="s">
        <v>1840</v>
      </c>
      <c r="H3644" s="28" t="s">
        <v>2784</v>
      </c>
      <c r="I3644" s="28">
        <f>I3747</f>
        <v>24.5</v>
      </c>
      <c r="J3644" s="31" t="s">
        <v>1840</v>
      </c>
      <c r="K3644" s="28">
        <f t="shared" si="335"/>
        <v>355.25</v>
      </c>
      <c r="S3644" s="139">
        <v>118</v>
      </c>
      <c r="T3644" s="101"/>
      <c r="U3644" s="139" t="s">
        <v>1352</v>
      </c>
      <c r="V3644" s="139">
        <v>2.4</v>
      </c>
      <c r="W3644" s="172"/>
      <c r="X3644" s="139">
        <f t="shared" si="334"/>
        <v>283.2</v>
      </c>
      <c r="Y3644" s="139"/>
    </row>
    <row r="3645" spans="6:25" ht="24" customHeight="1">
      <c r="G3645" s="29" t="s">
        <v>363</v>
      </c>
      <c r="H3645" s="28" t="s">
        <v>107</v>
      </c>
      <c r="J3645" s="31" t="s">
        <v>363</v>
      </c>
      <c r="K3645" s="28">
        <v>7</v>
      </c>
      <c r="S3645" s="28"/>
      <c r="W3645" s="172"/>
      <c r="X3645" s="41">
        <f>SUM(X3634:X3644)</f>
        <v>5287.23</v>
      </c>
      <c r="Y3645" s="41"/>
    </row>
    <row r="3646" spans="6:25" ht="24" customHeight="1">
      <c r="S3646" s="139"/>
      <c r="T3646" s="101"/>
      <c r="U3646" s="41"/>
      <c r="V3646" s="139"/>
      <c r="W3646" s="172"/>
      <c r="X3646" s="175" t="s">
        <v>1430</v>
      </c>
      <c r="Y3646" s="175"/>
    </row>
    <row r="3647" spans="6:25" ht="24" customHeight="1">
      <c r="H3647" s="28" t="s">
        <v>401</v>
      </c>
      <c r="K3647" s="28">
        <f>SUM(K3639:K3646)</f>
        <v>3867.1030000000001</v>
      </c>
      <c r="S3647" s="139"/>
      <c r="T3647" s="101"/>
      <c r="U3647" s="41" t="s">
        <v>1433</v>
      </c>
      <c r="V3647" s="139"/>
      <c r="W3647" s="172"/>
      <c r="X3647" s="41">
        <f>X3645/2.835</f>
        <v>1864.9841269841268</v>
      </c>
      <c r="Y3647" s="41"/>
    </row>
    <row r="3648" spans="6:25" ht="24" customHeight="1">
      <c r="H3648" s="28" t="s">
        <v>403</v>
      </c>
      <c r="K3648" s="28">
        <f>K3647/10</f>
        <v>386.71030000000002</v>
      </c>
      <c r="S3648" s="139"/>
      <c r="T3648" s="101"/>
      <c r="W3648" s="31"/>
      <c r="X3648" s="80" t="s">
        <v>1430</v>
      </c>
      <c r="Y3648" s="80"/>
    </row>
    <row r="3649" spans="6:26" ht="24" customHeight="1">
      <c r="S3649" s="28"/>
    </row>
    <row r="3650" spans="6:26" ht="24" customHeight="1">
      <c r="K3650" s="28" t="s">
        <v>41</v>
      </c>
      <c r="S3650" s="483" t="s">
        <v>2785</v>
      </c>
      <c r="T3650" s="483"/>
      <c r="U3650" s="483"/>
      <c r="V3650" s="483"/>
      <c r="W3650" s="484"/>
      <c r="X3650" s="484"/>
      <c r="Y3650" s="484"/>
      <c r="Z3650" s="223"/>
    </row>
    <row r="3651" spans="6:26" ht="24" customHeight="1">
      <c r="S3651" s="225"/>
      <c r="T3651" s="226"/>
      <c r="U3651" s="227"/>
      <c r="V3651" s="228"/>
      <c r="W3651" s="226"/>
      <c r="X3651" s="228"/>
      <c r="Y3651" s="228"/>
      <c r="Z3651" s="223"/>
    </row>
    <row r="3652" spans="6:26" ht="24" customHeight="1">
      <c r="G3652" s="28"/>
      <c r="H3652" s="42" t="s">
        <v>2786</v>
      </c>
      <c r="J3652" s="28"/>
      <c r="S3652" s="225"/>
      <c r="T3652" s="226"/>
      <c r="U3652" s="229"/>
      <c r="V3652" s="228"/>
      <c r="W3652" s="226"/>
      <c r="X3652" s="228"/>
      <c r="Y3652" s="228"/>
      <c r="Z3652" s="223"/>
    </row>
    <row r="3653" spans="6:26" ht="24" customHeight="1">
      <c r="G3653" s="28"/>
      <c r="H3653" s="35" t="s">
        <v>48</v>
      </c>
      <c r="J3653" s="28"/>
      <c r="S3653" s="225">
        <v>28.49</v>
      </c>
      <c r="T3653" s="226" t="s">
        <v>488</v>
      </c>
      <c r="U3653" s="485" t="s">
        <v>2787</v>
      </c>
      <c r="V3653" s="228">
        <f>I3781</f>
        <v>287</v>
      </c>
      <c r="W3653" s="226" t="s">
        <v>488</v>
      </c>
      <c r="X3653" s="228">
        <f>V3653*S3653</f>
        <v>8176.6299999999992</v>
      </c>
      <c r="Y3653" s="228"/>
      <c r="Z3653" s="223"/>
    </row>
    <row r="3654" spans="6:26" ht="24" customHeight="1">
      <c r="G3654" s="26" t="s">
        <v>67</v>
      </c>
      <c r="H3654" s="30" t="s">
        <v>2788</v>
      </c>
      <c r="J3654" s="28"/>
      <c r="S3654" s="486">
        <v>3.82</v>
      </c>
      <c r="T3654" s="226" t="s">
        <v>1125</v>
      </c>
      <c r="U3654" s="229" t="s">
        <v>2789</v>
      </c>
      <c r="V3654" s="228">
        <v>35.5</v>
      </c>
      <c r="W3654" s="226" t="s">
        <v>1125</v>
      </c>
      <c r="X3654" s="228">
        <v>501.66</v>
      </c>
      <c r="Y3654" s="228"/>
      <c r="Z3654" s="223"/>
    </row>
    <row r="3655" spans="6:26" ht="24" customHeight="1">
      <c r="G3655" s="28"/>
      <c r="H3655" s="30" t="s">
        <v>2790</v>
      </c>
      <c r="J3655" s="28"/>
      <c r="S3655" s="225">
        <v>1.52</v>
      </c>
      <c r="T3655" s="226" t="s">
        <v>480</v>
      </c>
      <c r="U3655" s="229" t="s">
        <v>2791</v>
      </c>
      <c r="V3655" s="228">
        <v>336</v>
      </c>
      <c r="W3655" s="226" t="s">
        <v>480</v>
      </c>
      <c r="X3655" s="228">
        <f t="shared" ref="X3655:X3664" si="336">V3655*S3655</f>
        <v>510.72</v>
      </c>
      <c r="Y3655" s="228"/>
      <c r="Z3655" s="223"/>
    </row>
    <row r="3656" spans="6:26" ht="24" customHeight="1">
      <c r="G3656" s="28"/>
      <c r="H3656" s="30" t="s">
        <v>643</v>
      </c>
      <c r="J3656" s="28"/>
      <c r="S3656" s="225">
        <v>1.52</v>
      </c>
      <c r="T3656" s="226" t="s">
        <v>480</v>
      </c>
      <c r="U3656" s="229" t="s">
        <v>2792</v>
      </c>
      <c r="V3656" s="228">
        <v>695</v>
      </c>
      <c r="W3656" s="226" t="s">
        <v>196</v>
      </c>
      <c r="X3656" s="228">
        <f t="shared" si="336"/>
        <v>1056.4000000000001</v>
      </c>
      <c r="Y3656" s="228"/>
      <c r="Z3656" s="223"/>
    </row>
    <row r="3657" spans="6:26" ht="24" customHeight="1">
      <c r="G3657" s="28"/>
      <c r="H3657" s="35" t="s">
        <v>48</v>
      </c>
      <c r="J3657" s="28"/>
      <c r="S3657" s="225">
        <v>3</v>
      </c>
      <c r="T3657" s="226" t="s">
        <v>2793</v>
      </c>
      <c r="U3657" s="229" t="s">
        <v>2794</v>
      </c>
      <c r="V3657" s="228">
        <v>11.1</v>
      </c>
      <c r="W3657" s="226" t="s">
        <v>2793</v>
      </c>
      <c r="X3657" s="228">
        <f t="shared" si="336"/>
        <v>33.299999999999997</v>
      </c>
      <c r="Y3657" s="228"/>
      <c r="Z3657" s="223"/>
    </row>
    <row r="3658" spans="6:26" ht="24" customHeight="1">
      <c r="G3658" s="26" t="s">
        <v>644</v>
      </c>
      <c r="H3658" s="487" t="s">
        <v>2795</v>
      </c>
      <c r="J3658" s="28"/>
      <c r="S3658" s="225">
        <v>4.2</v>
      </c>
      <c r="T3658" s="226" t="s">
        <v>793</v>
      </c>
      <c r="U3658" s="229" t="s">
        <v>2796</v>
      </c>
      <c r="V3658" s="228">
        <v>7.2</v>
      </c>
      <c r="W3658" s="226" t="s">
        <v>196</v>
      </c>
      <c r="X3658" s="228">
        <f t="shared" si="336"/>
        <v>30.240000000000002</v>
      </c>
      <c r="Y3658" s="228"/>
      <c r="Z3658" s="223"/>
    </row>
    <row r="3659" spans="6:26" ht="24" customHeight="1">
      <c r="G3659" s="28"/>
      <c r="H3659" s="35" t="s">
        <v>48</v>
      </c>
      <c r="J3659" s="28"/>
      <c r="S3659" s="225">
        <v>3.15</v>
      </c>
      <c r="T3659" s="226" t="s">
        <v>788</v>
      </c>
      <c r="U3659" s="229" t="s">
        <v>1697</v>
      </c>
      <c r="V3659" s="223">
        <f>X3675</f>
        <v>2156</v>
      </c>
      <c r="W3659" s="226" t="s">
        <v>788</v>
      </c>
      <c r="X3659" s="228">
        <f t="shared" si="336"/>
        <v>6791.4</v>
      </c>
      <c r="Y3659" s="228"/>
      <c r="Z3659" s="223"/>
    </row>
    <row r="3660" spans="6:26" ht="24" customHeight="1">
      <c r="F3660" s="40">
        <v>18.899999999999999</v>
      </c>
      <c r="G3660" s="26" t="s">
        <v>93</v>
      </c>
      <c r="H3660" s="26" t="s">
        <v>648</v>
      </c>
      <c r="I3660" s="40">
        <f>P431</f>
        <v>235.2</v>
      </c>
      <c r="J3660" s="26" t="s">
        <v>93</v>
      </c>
      <c r="K3660" s="40">
        <f>(F3660*I3660)</f>
        <v>4445.28</v>
      </c>
      <c r="S3660" s="41">
        <v>1</v>
      </c>
      <c r="T3660" s="101" t="s">
        <v>1420</v>
      </c>
      <c r="U3660" s="41" t="s">
        <v>2797</v>
      </c>
      <c r="V3660" s="41">
        <v>43.8</v>
      </c>
      <c r="W3660" s="86" t="s">
        <v>793</v>
      </c>
      <c r="X3660" s="41">
        <f t="shared" si="336"/>
        <v>43.8</v>
      </c>
      <c r="Y3660" s="41"/>
      <c r="Z3660" s="223"/>
    </row>
    <row r="3661" spans="6:26" ht="24" customHeight="1">
      <c r="F3661" s="40">
        <v>18.63</v>
      </c>
      <c r="G3661" s="26" t="s">
        <v>93</v>
      </c>
      <c r="H3661" s="26" t="s">
        <v>649</v>
      </c>
      <c r="I3661" s="40">
        <f>P432</f>
        <v>41.019999999999996</v>
      </c>
      <c r="J3661" s="26" t="s">
        <v>93</v>
      </c>
      <c r="K3661" s="40">
        <f>(F3661*I3661)</f>
        <v>764.20259999999985</v>
      </c>
      <c r="S3661" s="41">
        <v>1</v>
      </c>
      <c r="T3661" s="101" t="s">
        <v>1420</v>
      </c>
      <c r="U3661" s="41" t="s">
        <v>2798</v>
      </c>
      <c r="V3661" s="41">
        <v>890</v>
      </c>
      <c r="W3661" s="86" t="s">
        <v>793</v>
      </c>
      <c r="X3661" s="41">
        <f t="shared" si="336"/>
        <v>890</v>
      </c>
      <c r="Y3661" s="41"/>
      <c r="Z3661" s="223"/>
    </row>
    <row r="3662" spans="6:26" ht="45.75" customHeight="1">
      <c r="F3662" s="40">
        <v>30</v>
      </c>
      <c r="G3662" s="26" t="s">
        <v>244</v>
      </c>
      <c r="H3662" s="87" t="s">
        <v>2799</v>
      </c>
      <c r="I3662" s="39">
        <v>191</v>
      </c>
      <c r="J3662" s="26" t="s">
        <v>244</v>
      </c>
      <c r="K3662" s="40">
        <f>(F3662*I3662)</f>
        <v>5730</v>
      </c>
      <c r="S3662" s="470">
        <v>45</v>
      </c>
      <c r="T3662" s="471" t="s">
        <v>1420</v>
      </c>
      <c r="U3662" s="470" t="s">
        <v>2800</v>
      </c>
      <c r="V3662" s="488">
        <v>1.45</v>
      </c>
      <c r="W3662" s="472" t="s">
        <v>1130</v>
      </c>
      <c r="X3662" s="228">
        <f t="shared" si="336"/>
        <v>65.25</v>
      </c>
      <c r="Y3662" s="228"/>
      <c r="Z3662" s="223"/>
    </row>
    <row r="3663" spans="6:26" ht="24" customHeight="1">
      <c r="G3663" s="28"/>
      <c r="J3663" s="28"/>
      <c r="S3663" s="470">
        <v>2</v>
      </c>
      <c r="T3663" s="471" t="s">
        <v>1420</v>
      </c>
      <c r="U3663" s="470" t="s">
        <v>2801</v>
      </c>
      <c r="V3663" s="488">
        <v>108.7</v>
      </c>
      <c r="W3663" s="86" t="s">
        <v>793</v>
      </c>
      <c r="X3663" s="228">
        <f t="shared" si="336"/>
        <v>217.4</v>
      </c>
      <c r="Y3663" s="228"/>
      <c r="Z3663" s="223"/>
    </row>
    <row r="3664" spans="6:26" ht="24" customHeight="1">
      <c r="F3664" s="40">
        <v>30</v>
      </c>
      <c r="G3664" s="26" t="s">
        <v>244</v>
      </c>
      <c r="H3664" s="26" t="s">
        <v>650</v>
      </c>
      <c r="I3664" s="40">
        <v>11.02</v>
      </c>
      <c r="J3664" s="26" t="s">
        <v>244</v>
      </c>
      <c r="K3664" s="40">
        <f>(F3664*I3664)</f>
        <v>330.59999999999997</v>
      </c>
      <c r="S3664" s="470">
        <v>2</v>
      </c>
      <c r="T3664" s="471" t="s">
        <v>1420</v>
      </c>
      <c r="U3664" s="470" t="s">
        <v>2802</v>
      </c>
      <c r="V3664" s="488">
        <v>54</v>
      </c>
      <c r="W3664" s="86" t="s">
        <v>793</v>
      </c>
      <c r="X3664" s="228">
        <f t="shared" si="336"/>
        <v>108</v>
      </c>
      <c r="Y3664" s="228"/>
      <c r="Z3664" s="223"/>
    </row>
    <row r="3665" spans="6:26" ht="24" customHeight="1">
      <c r="G3665" s="28"/>
      <c r="H3665" s="26" t="s">
        <v>651</v>
      </c>
      <c r="J3665" s="28"/>
      <c r="S3665" s="28"/>
      <c r="X3665" s="32"/>
      <c r="Y3665" s="32"/>
      <c r="Z3665" s="223"/>
    </row>
    <row r="3666" spans="6:26" ht="24" customHeight="1">
      <c r="G3666" s="28"/>
      <c r="H3666" s="26" t="s">
        <v>652</v>
      </c>
      <c r="J3666" s="28"/>
      <c r="S3666" s="225"/>
      <c r="T3666" s="226"/>
      <c r="U3666" s="229"/>
      <c r="V3666" s="223"/>
      <c r="W3666" s="230"/>
      <c r="X3666" s="228"/>
      <c r="Y3666" s="228"/>
      <c r="Z3666" s="223"/>
    </row>
    <row r="3667" spans="6:26" ht="24" customHeight="1">
      <c r="G3667" s="28"/>
      <c r="H3667" s="26" t="s">
        <v>653</v>
      </c>
      <c r="J3667" s="28"/>
      <c r="S3667" s="225"/>
      <c r="T3667" s="226"/>
      <c r="U3667" s="26" t="s">
        <v>2803</v>
      </c>
      <c r="W3667" s="226"/>
      <c r="X3667" s="228">
        <f>SUM(X3653:X3666)</f>
        <v>18424.8</v>
      </c>
      <c r="Y3667" s="228"/>
      <c r="Z3667" s="223"/>
    </row>
    <row r="3668" spans="6:26" ht="24" customHeight="1">
      <c r="G3668" s="28"/>
      <c r="H3668" s="26" t="s">
        <v>2804</v>
      </c>
      <c r="J3668" s="28"/>
      <c r="S3668" s="225"/>
      <c r="T3668" s="226"/>
      <c r="U3668" s="26" t="s">
        <v>403</v>
      </c>
      <c r="W3668" s="484"/>
      <c r="X3668" s="232">
        <f>X3667/3.15</f>
        <v>5849.1428571428569</v>
      </c>
      <c r="Y3668" s="232"/>
      <c r="Z3668" s="234" t="s">
        <v>793</v>
      </c>
    </row>
    <row r="3669" spans="6:26" ht="24.75" customHeight="1">
      <c r="G3669" s="28"/>
      <c r="H3669" s="26"/>
      <c r="J3669" s="28"/>
      <c r="S3669" s="223"/>
      <c r="T3669" s="223"/>
      <c r="U3669" s="235"/>
      <c r="V3669" s="223"/>
      <c r="W3669" s="223"/>
      <c r="X3669" s="223"/>
      <c r="Y3669" s="223"/>
      <c r="Z3669" s="223"/>
    </row>
    <row r="3670" spans="6:26" ht="30" customHeight="1">
      <c r="F3670" s="40">
        <v>5</v>
      </c>
      <c r="G3670" s="26" t="s">
        <v>196</v>
      </c>
      <c r="H3670" s="88" t="s">
        <v>2805</v>
      </c>
      <c r="I3670" s="49">
        <v>35.6</v>
      </c>
      <c r="J3670" s="26" t="s">
        <v>196</v>
      </c>
      <c r="K3670" s="40">
        <f>(F3670*I3670)</f>
        <v>178</v>
      </c>
      <c r="S3670" s="228">
        <v>1</v>
      </c>
      <c r="T3670" s="226" t="s">
        <v>105</v>
      </c>
      <c r="U3670" s="229" t="s">
        <v>1702</v>
      </c>
      <c r="V3670" s="228">
        <f>AG17</f>
        <v>950.59999999999991</v>
      </c>
      <c r="W3670" s="229" t="s">
        <v>105</v>
      </c>
      <c r="X3670" s="228">
        <f>V3670*S3670</f>
        <v>950.59999999999991</v>
      </c>
      <c r="Y3670" s="228"/>
      <c r="Z3670" s="223"/>
    </row>
    <row r="3671" spans="6:26" ht="24" customHeight="1">
      <c r="F3671" s="40">
        <v>1</v>
      </c>
      <c r="G3671" s="26" t="s">
        <v>106</v>
      </c>
      <c r="H3671" s="26" t="s">
        <v>662</v>
      </c>
      <c r="I3671" s="40">
        <v>12.1</v>
      </c>
      <c r="J3671" s="26" t="s">
        <v>106</v>
      </c>
      <c r="K3671" s="40">
        <f>(F3671*I3671)</f>
        <v>12.1</v>
      </c>
      <c r="S3671" s="228">
        <v>1</v>
      </c>
      <c r="T3671" s="226" t="s">
        <v>105</v>
      </c>
      <c r="U3671" s="229" t="s">
        <v>1703</v>
      </c>
      <c r="V3671" s="228">
        <f>AG11</f>
        <v>702.8</v>
      </c>
      <c r="W3671" s="229" t="s">
        <v>105</v>
      </c>
      <c r="X3671" s="228">
        <f>V3671*S3671</f>
        <v>702.8</v>
      </c>
      <c r="Y3671" s="228"/>
      <c r="Z3671" s="223"/>
    </row>
    <row r="3672" spans="6:26" ht="24" customHeight="1">
      <c r="F3672" s="40"/>
      <c r="G3672" s="26" t="s">
        <v>106</v>
      </c>
      <c r="H3672" s="26" t="s">
        <v>107</v>
      </c>
      <c r="J3672" s="26" t="s">
        <v>106</v>
      </c>
      <c r="K3672" s="40">
        <v>17.100000000000001</v>
      </c>
      <c r="S3672" s="228">
        <v>0.5</v>
      </c>
      <c r="T3672" s="226" t="s">
        <v>105</v>
      </c>
      <c r="U3672" s="229" t="s">
        <v>1704</v>
      </c>
      <c r="V3672" s="228">
        <f>AG20</f>
        <v>1005.1999999999999</v>
      </c>
      <c r="W3672" s="229" t="s">
        <v>105</v>
      </c>
      <c r="X3672" s="228">
        <f>V3672*S3672</f>
        <v>502.59999999999997</v>
      </c>
      <c r="Y3672" s="228"/>
      <c r="Z3672" s="223"/>
    </row>
    <row r="3673" spans="6:26" ht="24" customHeight="1">
      <c r="G3673" s="28"/>
      <c r="J3673" s="28"/>
      <c r="S3673" s="223"/>
      <c r="T3673" s="226" t="s">
        <v>106</v>
      </c>
      <c r="U3673" s="229"/>
      <c r="V3673" s="228"/>
      <c r="W3673" s="229" t="s">
        <v>106</v>
      </c>
      <c r="X3673" s="228"/>
      <c r="Y3673" s="228"/>
      <c r="Z3673" s="223"/>
    </row>
    <row r="3674" spans="6:26" ht="24" customHeight="1">
      <c r="G3674" s="28"/>
      <c r="J3674" s="28"/>
      <c r="K3674" s="35" t="s">
        <v>48</v>
      </c>
      <c r="S3674" s="223"/>
      <c r="T3674" s="231"/>
      <c r="U3674" s="223"/>
      <c r="V3674" s="223"/>
      <c r="W3674" s="236"/>
      <c r="X3674" s="237" t="s">
        <v>48</v>
      </c>
      <c r="Y3674" s="237"/>
      <c r="Z3674" s="223"/>
    </row>
    <row r="3675" spans="6:26" ht="24" customHeight="1">
      <c r="G3675" s="28"/>
      <c r="H3675" s="26" t="s">
        <v>664</v>
      </c>
      <c r="J3675" s="28"/>
      <c r="K3675" s="40">
        <f>SUM(K3660:K3672)</f>
        <v>11477.2826</v>
      </c>
      <c r="S3675" s="223"/>
      <c r="T3675" s="231"/>
      <c r="U3675" s="229" t="s">
        <v>1705</v>
      </c>
      <c r="V3675" s="223"/>
      <c r="W3675" s="236"/>
      <c r="X3675" s="232">
        <f>SUM(X3670:X3674)</f>
        <v>2156</v>
      </c>
      <c r="Y3675" s="232"/>
      <c r="Z3675" s="223"/>
    </row>
    <row r="3676" spans="6:26" ht="24" customHeight="1">
      <c r="G3676" s="28"/>
      <c r="J3676" s="28"/>
      <c r="K3676" s="35" t="s">
        <v>48</v>
      </c>
      <c r="S3676" s="223"/>
      <c r="T3676" s="231"/>
      <c r="U3676" s="223"/>
      <c r="V3676" s="223"/>
      <c r="W3676" s="236"/>
      <c r="X3676" s="237" t="s">
        <v>48</v>
      </c>
      <c r="Y3676" s="237"/>
      <c r="Z3676" s="223"/>
    </row>
    <row r="3677" spans="6:26" ht="24" customHeight="1">
      <c r="G3677" s="28"/>
      <c r="H3677" s="26" t="s">
        <v>665</v>
      </c>
      <c r="J3677" s="28"/>
      <c r="K3677" s="39">
        <f>(K3675/30)</f>
        <v>382.5760866666667</v>
      </c>
      <c r="S3677" s="28"/>
    </row>
    <row r="3678" spans="6:26" ht="24" customHeight="1">
      <c r="G3678" s="28"/>
      <c r="J3678" s="28"/>
      <c r="K3678" s="35" t="s">
        <v>48</v>
      </c>
      <c r="S3678" s="28"/>
    </row>
    <row r="3679" spans="6:26" ht="24" customHeight="1">
      <c r="G3679" s="26" t="s">
        <v>668</v>
      </c>
      <c r="H3679" s="487" t="s">
        <v>2806</v>
      </c>
      <c r="J3679" s="28"/>
      <c r="S3679" s="489"/>
      <c r="T3679" s="489"/>
      <c r="U3679" s="489"/>
      <c r="V3679" s="489"/>
      <c r="W3679" s="489"/>
      <c r="X3679" s="489"/>
      <c r="Y3679" s="489"/>
    </row>
    <row r="3680" spans="6:26" ht="24" customHeight="1">
      <c r="G3680" s="28"/>
      <c r="H3680" s="35" t="s">
        <v>48</v>
      </c>
      <c r="J3680" s="28"/>
      <c r="S3680" s="711" t="s">
        <v>2807</v>
      </c>
      <c r="T3680" s="711"/>
      <c r="U3680" s="711"/>
      <c r="V3680" s="711"/>
      <c r="W3680" s="484"/>
      <c r="X3680" s="484"/>
      <c r="Y3680" s="484"/>
    </row>
    <row r="3681" spans="6:26" ht="24" customHeight="1">
      <c r="F3681" s="40">
        <f>F3660</f>
        <v>18.899999999999999</v>
      </c>
      <c r="G3681" s="26" t="s">
        <v>93</v>
      </c>
      <c r="H3681" s="26" t="str">
        <f>H3660</f>
        <v>E.W EXCLUDING REFILLING</v>
      </c>
      <c r="I3681" s="40">
        <f>I3660</f>
        <v>235.2</v>
      </c>
      <c r="J3681" s="26" t="s">
        <v>93</v>
      </c>
      <c r="K3681" s="40">
        <f>(F3681*I3681)</f>
        <v>4445.28</v>
      </c>
      <c r="S3681" s="225"/>
      <c r="T3681" s="226"/>
      <c r="U3681" s="227"/>
      <c r="V3681" s="228"/>
      <c r="W3681" s="226"/>
      <c r="X3681" s="228"/>
      <c r="Y3681" s="228"/>
    </row>
    <row r="3682" spans="6:26" ht="24" customHeight="1">
      <c r="F3682" s="40">
        <v>18.3</v>
      </c>
      <c r="G3682" s="26" t="s">
        <v>93</v>
      </c>
      <c r="H3682" s="26" t="str">
        <f>H3661</f>
        <v>REFILLING CHARGE</v>
      </c>
      <c r="I3682" s="40">
        <f>I3661</f>
        <v>41.019999999999996</v>
      </c>
      <c r="J3682" s="26" t="s">
        <v>93</v>
      </c>
      <c r="K3682" s="40">
        <f>(F3682*I3682)</f>
        <v>750.66599999999994</v>
      </c>
      <c r="S3682" s="225"/>
      <c r="T3682" s="226"/>
      <c r="U3682" s="229"/>
      <c r="V3682" s="228"/>
      <c r="W3682" s="226"/>
      <c r="X3682" s="228"/>
      <c r="Y3682" s="228"/>
    </row>
    <row r="3683" spans="6:26" ht="39" customHeight="1">
      <c r="F3683" s="40">
        <f>F3662</f>
        <v>30</v>
      </c>
      <c r="G3683" s="26" t="s">
        <v>244</v>
      </c>
      <c r="H3683" s="87" t="s">
        <v>2808</v>
      </c>
      <c r="I3683" s="39">
        <v>402</v>
      </c>
      <c r="J3683" s="26" t="s">
        <v>244</v>
      </c>
      <c r="K3683" s="40">
        <f>(F3683*I3683)</f>
        <v>12060</v>
      </c>
      <c r="S3683" s="225">
        <v>29.06</v>
      </c>
      <c r="T3683" s="226" t="s">
        <v>488</v>
      </c>
      <c r="U3683" s="485" t="s">
        <v>2787</v>
      </c>
      <c r="V3683" s="228">
        <f>V3653</f>
        <v>287</v>
      </c>
      <c r="W3683" s="226" t="s">
        <v>488</v>
      </c>
      <c r="X3683" s="228">
        <f>V3683*S3683</f>
        <v>8340.2199999999993</v>
      </c>
      <c r="Y3683" s="228"/>
    </row>
    <row r="3684" spans="6:26" ht="24" customHeight="1">
      <c r="F3684" s="40"/>
      <c r="G3684" s="28"/>
      <c r="H3684" s="26"/>
      <c r="I3684" s="40"/>
      <c r="J3684" s="28"/>
      <c r="K3684" s="40"/>
      <c r="S3684" s="486">
        <v>9.24</v>
      </c>
      <c r="T3684" s="226" t="s">
        <v>1125</v>
      </c>
      <c r="U3684" s="229" t="s">
        <v>2809</v>
      </c>
      <c r="V3684" s="228">
        <f t="shared" ref="V3684:V3694" si="337">V3654</f>
        <v>35.5</v>
      </c>
      <c r="W3684" s="226" t="s">
        <v>1125</v>
      </c>
      <c r="X3684" s="228">
        <f t="shared" ref="X3684:X3694" si="338">V3684*S3684</f>
        <v>328.02</v>
      </c>
      <c r="Y3684" s="228"/>
    </row>
    <row r="3685" spans="6:26" ht="24" customHeight="1">
      <c r="F3685" s="40">
        <f>F3664</f>
        <v>30</v>
      </c>
      <c r="G3685" s="28"/>
      <c r="H3685" s="26" t="str">
        <f>H3664</f>
        <v>CONVEYING,LOWERING  ANDLAYING</v>
      </c>
      <c r="I3685" s="40">
        <v>15.54</v>
      </c>
      <c r="J3685" s="26" t="s">
        <v>244</v>
      </c>
      <c r="K3685" s="40">
        <f>(F3685*I3685)</f>
        <v>466.2</v>
      </c>
      <c r="S3685" s="225">
        <v>1.49</v>
      </c>
      <c r="T3685" s="226" t="s">
        <v>480</v>
      </c>
      <c r="U3685" s="229" t="s">
        <v>2791</v>
      </c>
      <c r="V3685" s="228">
        <f t="shared" si="337"/>
        <v>336</v>
      </c>
      <c r="W3685" s="226" t="s">
        <v>480</v>
      </c>
      <c r="X3685" s="228">
        <f t="shared" si="338"/>
        <v>500.64</v>
      </c>
      <c r="Y3685" s="228"/>
    </row>
    <row r="3686" spans="6:26" ht="24" customHeight="1">
      <c r="F3686" s="40"/>
      <c r="G3686" s="28"/>
      <c r="H3686" s="26" t="str">
        <f>H3665</f>
        <v>TO PROPER GRADEAND</v>
      </c>
      <c r="I3686" s="40"/>
      <c r="J3686" s="28"/>
      <c r="S3686" s="225">
        <v>0.75</v>
      </c>
      <c r="T3686" s="226" t="s">
        <v>480</v>
      </c>
      <c r="U3686" s="229" t="s">
        <v>2792</v>
      </c>
      <c r="V3686" s="228">
        <f t="shared" si="337"/>
        <v>695</v>
      </c>
      <c r="W3686" s="226" t="s">
        <v>196</v>
      </c>
      <c r="X3686" s="228">
        <f t="shared" si="338"/>
        <v>521.25</v>
      </c>
      <c r="Y3686" s="228"/>
    </row>
    <row r="3687" spans="6:26" ht="24" customHeight="1">
      <c r="F3687" s="40"/>
      <c r="G3687" s="28"/>
      <c r="H3687" s="26" t="str">
        <f>H3666</f>
        <v>ALIGNMENT,JOINTING</v>
      </c>
      <c r="I3687" s="40"/>
      <c r="J3687" s="28"/>
      <c r="S3687" s="490">
        <v>2</v>
      </c>
      <c r="T3687" s="226" t="s">
        <v>2793</v>
      </c>
      <c r="U3687" s="229" t="s">
        <v>2794</v>
      </c>
      <c r="V3687" s="228">
        <f t="shared" si="337"/>
        <v>11.1</v>
      </c>
      <c r="W3687" s="226" t="s">
        <v>2793</v>
      </c>
      <c r="X3687" s="228">
        <f t="shared" si="338"/>
        <v>22.2</v>
      </c>
      <c r="Y3687" s="228"/>
    </row>
    <row r="3688" spans="6:26" ht="24" customHeight="1">
      <c r="F3688" s="40"/>
      <c r="G3688" s="26"/>
      <c r="H3688" s="26" t="str">
        <f>H3667</f>
        <v>ETC BUT EXCLUDING  COST OF</v>
      </c>
      <c r="I3688" s="40"/>
      <c r="J3688" s="26"/>
      <c r="K3688" s="40"/>
      <c r="S3688" s="225">
        <v>7.08</v>
      </c>
      <c r="T3688" s="226" t="s">
        <v>793</v>
      </c>
      <c r="U3688" s="229" t="s">
        <v>2796</v>
      </c>
      <c r="V3688" s="228">
        <f t="shared" si="337"/>
        <v>7.2</v>
      </c>
      <c r="W3688" s="226" t="s">
        <v>196</v>
      </c>
      <c r="X3688" s="228">
        <f t="shared" si="338"/>
        <v>50.975999999999999</v>
      </c>
      <c r="Y3688" s="228"/>
    </row>
    <row r="3689" spans="6:26" ht="24" customHeight="1">
      <c r="F3689" s="40"/>
      <c r="G3689" s="26"/>
      <c r="H3689" s="26" t="str">
        <f>H3668</f>
        <v>JOINTING MATERIALS. (TWAD SR 17-18 11-b)</v>
      </c>
      <c r="I3689" s="40"/>
      <c r="J3689" s="26"/>
      <c r="K3689" s="40"/>
      <c r="S3689" s="225">
        <v>2.1</v>
      </c>
      <c r="T3689" s="226" t="s">
        <v>788</v>
      </c>
      <c r="U3689" s="229" t="s">
        <v>1697</v>
      </c>
      <c r="V3689" s="228">
        <f t="shared" si="337"/>
        <v>2156</v>
      </c>
      <c r="W3689" s="226" t="s">
        <v>788</v>
      </c>
      <c r="X3689" s="228">
        <f t="shared" si="338"/>
        <v>4527.6000000000004</v>
      </c>
      <c r="Y3689" s="228"/>
    </row>
    <row r="3690" spans="6:26" ht="24" customHeight="1">
      <c r="F3690" s="40"/>
      <c r="G3690" s="26"/>
      <c r="H3690" s="26"/>
      <c r="I3690" s="40"/>
      <c r="J3690" s="26"/>
      <c r="K3690" s="40"/>
      <c r="S3690" s="41">
        <v>1</v>
      </c>
      <c r="T3690" s="101" t="s">
        <v>1420</v>
      </c>
      <c r="U3690" s="41" t="s">
        <v>2797</v>
      </c>
      <c r="V3690" s="228">
        <f t="shared" si="337"/>
        <v>43.8</v>
      </c>
      <c r="W3690" s="86" t="s">
        <v>793</v>
      </c>
      <c r="X3690" s="228">
        <f t="shared" si="338"/>
        <v>43.8</v>
      </c>
      <c r="Y3690" s="228"/>
    </row>
    <row r="3691" spans="6:26" ht="24" customHeight="1">
      <c r="F3691" s="40">
        <f>F3670</f>
        <v>5</v>
      </c>
      <c r="G3691" s="26" t="s">
        <v>106</v>
      </c>
      <c r="H3691" s="26" t="str">
        <f>H3670</f>
        <v>CUTTING CHARGES ( P-32/141)</v>
      </c>
      <c r="I3691" s="49">
        <f>I3670</f>
        <v>35.6</v>
      </c>
      <c r="J3691" s="26" t="s">
        <v>196</v>
      </c>
      <c r="K3691" s="40">
        <f>(F3691*I3691)</f>
        <v>178</v>
      </c>
      <c r="S3691" s="41">
        <v>1</v>
      </c>
      <c r="T3691" s="101" t="s">
        <v>1420</v>
      </c>
      <c r="U3691" s="41" t="s">
        <v>2798</v>
      </c>
      <c r="V3691" s="228">
        <f t="shared" si="337"/>
        <v>890</v>
      </c>
      <c r="W3691" s="86" t="s">
        <v>793</v>
      </c>
      <c r="X3691" s="228">
        <f t="shared" si="338"/>
        <v>890</v>
      </c>
      <c r="Y3691" s="228"/>
    </row>
    <row r="3692" spans="6:26" ht="24" customHeight="1">
      <c r="F3692" s="40">
        <f>F3671</f>
        <v>1</v>
      </c>
      <c r="G3692" s="28"/>
      <c r="H3692" s="26" t="str">
        <f>H3671</f>
        <v>COST OF JOINTING  MATERIALS</v>
      </c>
      <c r="I3692" s="40">
        <f>I3671</f>
        <v>12.1</v>
      </c>
      <c r="J3692" s="26" t="s">
        <v>106</v>
      </c>
      <c r="K3692" s="40">
        <f>(F3692*I3692)</f>
        <v>12.1</v>
      </c>
      <c r="S3692" s="470">
        <v>6</v>
      </c>
      <c r="T3692" s="471" t="s">
        <v>1420</v>
      </c>
      <c r="U3692" s="470" t="s">
        <v>2810</v>
      </c>
      <c r="V3692" s="228">
        <f t="shared" si="337"/>
        <v>1.45</v>
      </c>
      <c r="W3692" s="472" t="s">
        <v>1130</v>
      </c>
      <c r="X3692" s="228">
        <f t="shared" si="338"/>
        <v>8.6999999999999993</v>
      </c>
      <c r="Y3692" s="228"/>
    </row>
    <row r="3693" spans="6:26" ht="24" customHeight="1">
      <c r="G3693" s="28"/>
      <c r="H3693" s="26" t="str">
        <f>H3672</f>
        <v>SUNDRIES</v>
      </c>
      <c r="J3693" s="26" t="s">
        <v>106</v>
      </c>
      <c r="K3693" s="40">
        <v>24.3</v>
      </c>
      <c r="S3693" s="470">
        <v>2</v>
      </c>
      <c r="T3693" s="471" t="s">
        <v>1420</v>
      </c>
      <c r="U3693" s="470" t="s">
        <v>2811</v>
      </c>
      <c r="V3693" s="228">
        <f t="shared" si="337"/>
        <v>108.7</v>
      </c>
      <c r="W3693" s="86" t="s">
        <v>793</v>
      </c>
      <c r="X3693" s="228">
        <f t="shared" si="338"/>
        <v>217.4</v>
      </c>
      <c r="Y3693" s="228"/>
    </row>
    <row r="3694" spans="6:26" ht="24" customHeight="1">
      <c r="G3694" s="28"/>
      <c r="J3694" s="28"/>
      <c r="K3694" s="40"/>
      <c r="S3694" s="470">
        <v>2</v>
      </c>
      <c r="T3694" s="471" t="s">
        <v>1420</v>
      </c>
      <c r="U3694" s="470" t="s">
        <v>2802</v>
      </c>
      <c r="V3694" s="228">
        <f t="shared" si="337"/>
        <v>54</v>
      </c>
      <c r="W3694" s="86" t="s">
        <v>793</v>
      </c>
      <c r="X3694" s="228">
        <f t="shared" si="338"/>
        <v>108</v>
      </c>
      <c r="Y3694" s="228"/>
    </row>
    <row r="3695" spans="6:26" ht="24" customHeight="1">
      <c r="G3695" s="28"/>
      <c r="H3695" s="26" t="s">
        <v>664</v>
      </c>
      <c r="J3695" s="28"/>
      <c r="K3695" s="40">
        <f>SUM(K3681:K3694)</f>
        <v>17936.545999999998</v>
      </c>
      <c r="S3695" s="28"/>
      <c r="U3695" s="26" t="s">
        <v>2812</v>
      </c>
      <c r="W3695" s="226"/>
      <c r="X3695" s="228">
        <f>SUM(X3683:X3694)</f>
        <v>15558.806</v>
      </c>
      <c r="Y3695" s="228"/>
      <c r="Z3695" s="223"/>
    </row>
    <row r="3696" spans="6:26" ht="24" customHeight="1">
      <c r="G3696" s="28"/>
      <c r="J3696" s="28"/>
      <c r="K3696" s="35" t="s">
        <v>48</v>
      </c>
      <c r="S3696" s="489"/>
      <c r="T3696" s="489"/>
      <c r="U3696" s="26" t="s">
        <v>403</v>
      </c>
      <c r="W3696" s="484"/>
      <c r="X3696" s="232">
        <f>X3695/2.1</f>
        <v>7408.9552380952382</v>
      </c>
      <c r="Y3696" s="232"/>
      <c r="Z3696" s="234"/>
    </row>
    <row r="3697" spans="6:28" ht="24" customHeight="1">
      <c r="G3697" s="28"/>
      <c r="H3697" s="26" t="s">
        <v>665</v>
      </c>
      <c r="J3697" s="28"/>
      <c r="K3697" s="39">
        <f>(K3695/30)</f>
        <v>597.88486666666665</v>
      </c>
      <c r="S3697" s="489"/>
      <c r="T3697" s="489"/>
      <c r="U3697" s="489"/>
      <c r="V3697" s="489"/>
      <c r="W3697" s="489"/>
      <c r="X3697" s="489"/>
      <c r="Y3697" s="489"/>
    </row>
    <row r="3698" spans="6:28" ht="24" customHeight="1">
      <c r="G3698" s="28"/>
      <c r="J3698" s="28"/>
      <c r="S3698" s="28"/>
      <c r="U3698" s="41" t="s">
        <v>2813</v>
      </c>
    </row>
    <row r="3699" spans="6:28" ht="240.75" customHeight="1">
      <c r="S3699" s="483"/>
      <c r="T3699" s="483"/>
      <c r="U3699" s="491" t="s">
        <v>2814</v>
      </c>
      <c r="V3699" s="491"/>
      <c r="W3699" s="491"/>
      <c r="X3699" s="491"/>
      <c r="Y3699" s="491"/>
      <c r="Z3699" s="491"/>
      <c r="AA3699" s="491"/>
      <c r="AB3699" s="491"/>
    </row>
    <row r="3700" spans="6:28" ht="25.5" customHeight="1">
      <c r="S3700" s="483"/>
      <c r="T3700" s="483"/>
      <c r="U3700" s="491"/>
      <c r="V3700" s="491"/>
      <c r="W3700" s="491"/>
      <c r="X3700" s="491"/>
      <c r="Y3700" s="491"/>
      <c r="Z3700" s="491"/>
      <c r="AA3700" s="491"/>
      <c r="AB3700" s="491"/>
    </row>
    <row r="3701" spans="6:28" ht="24" customHeight="1">
      <c r="F3701" s="489"/>
      <c r="G3701" s="489"/>
      <c r="H3701" s="489"/>
      <c r="I3701" s="489"/>
      <c r="J3701" s="489"/>
      <c r="K3701" s="489"/>
      <c r="L3701" s="489"/>
      <c r="M3701" s="489"/>
      <c r="N3701" s="489"/>
      <c r="S3701" s="225">
        <v>17.440000000000001</v>
      </c>
      <c r="T3701" s="226" t="s">
        <v>488</v>
      </c>
      <c r="U3701" s="485" t="s">
        <v>2815</v>
      </c>
      <c r="V3701" s="228">
        <f>V3683</f>
        <v>287</v>
      </c>
      <c r="W3701" s="226" t="s">
        <v>488</v>
      </c>
      <c r="X3701" s="228">
        <f>V3701*S3701</f>
        <v>5005.2800000000007</v>
      </c>
      <c r="Y3701" s="228"/>
      <c r="Z3701" s="223"/>
    </row>
    <row r="3702" spans="6:28" ht="24" customHeight="1">
      <c r="F3702" s="489"/>
      <c r="G3702" s="489"/>
      <c r="H3702" s="492" t="s">
        <v>2816</v>
      </c>
      <c r="I3702" s="492"/>
      <c r="J3702" s="492"/>
      <c r="K3702" s="492"/>
      <c r="L3702" s="489"/>
      <c r="M3702" s="489"/>
      <c r="N3702" s="489"/>
      <c r="S3702" s="486">
        <v>13.56</v>
      </c>
      <c r="T3702" s="226" t="s">
        <v>1125</v>
      </c>
      <c r="U3702" s="229" t="s">
        <v>2809</v>
      </c>
      <c r="V3702" s="228">
        <v>33.89</v>
      </c>
      <c r="W3702" s="226" t="s">
        <v>1125</v>
      </c>
      <c r="X3702" s="228">
        <v>501.66</v>
      </c>
      <c r="Y3702" s="228"/>
      <c r="Z3702" s="223"/>
    </row>
    <row r="3703" spans="6:28" ht="24" customHeight="1">
      <c r="F3703" s="489">
        <v>11</v>
      </c>
      <c r="G3703" s="493" t="s">
        <v>788</v>
      </c>
      <c r="H3703" s="489" t="s">
        <v>2817</v>
      </c>
      <c r="I3703" s="406">
        <v>378</v>
      </c>
      <c r="J3703" s="493" t="s">
        <v>788</v>
      </c>
      <c r="K3703" s="353">
        <f>I3703*F3703</f>
        <v>4158</v>
      </c>
      <c r="L3703" s="489"/>
      <c r="M3703" s="489"/>
      <c r="N3703" s="489"/>
      <c r="S3703" s="225">
        <v>2.62</v>
      </c>
      <c r="T3703" s="226" t="s">
        <v>480</v>
      </c>
      <c r="U3703" s="229" t="s">
        <v>2818</v>
      </c>
      <c r="V3703" s="228">
        <v>258.52</v>
      </c>
      <c r="W3703" s="226" t="s">
        <v>480</v>
      </c>
      <c r="X3703" s="228">
        <f>V3703*S3703</f>
        <v>677.32240000000002</v>
      </c>
      <c r="Y3703" s="228"/>
      <c r="Z3703" s="223"/>
    </row>
    <row r="3704" spans="6:28" ht="24" customHeight="1">
      <c r="F3704" s="489">
        <v>2.2000000000000002</v>
      </c>
      <c r="G3704" s="489" t="s">
        <v>793</v>
      </c>
      <c r="H3704" s="489" t="s">
        <v>2819</v>
      </c>
      <c r="I3704" s="28">
        <f>AG17</f>
        <v>950.59999999999991</v>
      </c>
      <c r="J3704" s="489" t="s">
        <v>793</v>
      </c>
      <c r="K3704" s="353">
        <f>I3704*F3704</f>
        <v>2091.3200000000002</v>
      </c>
      <c r="L3704" s="489"/>
      <c r="M3704" s="489"/>
      <c r="N3704" s="489"/>
      <c r="S3704" s="225">
        <v>8</v>
      </c>
      <c r="T3704" s="226" t="s">
        <v>969</v>
      </c>
      <c r="U3704" s="229" t="s">
        <v>2820</v>
      </c>
      <c r="V3704" s="228">
        <v>13.1</v>
      </c>
      <c r="W3704" s="226" t="s">
        <v>969</v>
      </c>
      <c r="X3704" s="228">
        <f>V3704*S3704</f>
        <v>104.8</v>
      </c>
      <c r="Y3704" s="228"/>
      <c r="Z3704" s="223"/>
    </row>
    <row r="3705" spans="6:28" ht="24" customHeight="1">
      <c r="F3705" s="489">
        <v>1.1000000000000001</v>
      </c>
      <c r="G3705" s="489" t="s">
        <v>793</v>
      </c>
      <c r="H3705" s="489" t="s">
        <v>2821</v>
      </c>
      <c r="I3705" s="28">
        <f>AG19</f>
        <v>1052.8</v>
      </c>
      <c r="J3705" s="489" t="s">
        <v>793</v>
      </c>
      <c r="K3705" s="353">
        <f>I3705*F3705</f>
        <v>1158.0800000000002</v>
      </c>
      <c r="L3705" s="489"/>
      <c r="M3705" s="489"/>
      <c r="N3705" s="489"/>
      <c r="S3705" s="225">
        <v>3</v>
      </c>
      <c r="T3705" s="226" t="s">
        <v>969</v>
      </c>
      <c r="U3705" s="229" t="s">
        <v>2822</v>
      </c>
      <c r="V3705" s="228">
        <v>62.8</v>
      </c>
      <c r="W3705" s="226" t="s">
        <v>2793</v>
      </c>
      <c r="X3705" s="228">
        <f>V3705*S3705</f>
        <v>188.39999999999998</v>
      </c>
      <c r="Y3705" s="228"/>
      <c r="Z3705" s="223"/>
    </row>
    <row r="3706" spans="6:28" ht="24" customHeight="1">
      <c r="F3706" s="489">
        <v>3.2</v>
      </c>
      <c r="G3706" s="489" t="s">
        <v>793</v>
      </c>
      <c r="H3706" s="494" t="s">
        <v>2823</v>
      </c>
      <c r="I3706" s="28">
        <f>AG11</f>
        <v>702.8</v>
      </c>
      <c r="J3706" s="489" t="s">
        <v>793</v>
      </c>
      <c r="K3706" s="353">
        <f>I3706*F3706</f>
        <v>2248.96</v>
      </c>
      <c r="L3706" s="489"/>
      <c r="M3706" s="489"/>
      <c r="N3706" s="489"/>
      <c r="S3706" s="225">
        <v>4</v>
      </c>
      <c r="T3706" s="226" t="s">
        <v>969</v>
      </c>
      <c r="U3706" s="229" t="s">
        <v>2824</v>
      </c>
      <c r="V3706" s="228">
        <v>29.5</v>
      </c>
      <c r="W3706" s="226" t="s">
        <v>196</v>
      </c>
      <c r="X3706" s="228">
        <f>V3706*S3706</f>
        <v>118</v>
      </c>
      <c r="Y3706" s="228"/>
      <c r="Z3706" s="223"/>
    </row>
    <row r="3707" spans="6:28" ht="24" customHeight="1">
      <c r="F3707" s="489"/>
      <c r="G3707" s="489" t="s">
        <v>2825</v>
      </c>
      <c r="H3707" s="489" t="s">
        <v>2826</v>
      </c>
      <c r="I3707" s="489" t="s">
        <v>2825</v>
      </c>
      <c r="J3707" s="489"/>
      <c r="K3707" s="489">
        <v>107.11</v>
      </c>
      <c r="L3707" s="489"/>
      <c r="M3707" s="489"/>
      <c r="N3707" s="489"/>
      <c r="S3707" s="225">
        <v>2.4300000000000002</v>
      </c>
      <c r="T3707" s="226" t="s">
        <v>788</v>
      </c>
      <c r="U3707" s="229" t="s">
        <v>1697</v>
      </c>
      <c r="V3707" s="223">
        <f>X3675</f>
        <v>2156</v>
      </c>
      <c r="W3707" s="226" t="s">
        <v>788</v>
      </c>
      <c r="X3707" s="228">
        <f>V3707*S3707</f>
        <v>5239.08</v>
      </c>
      <c r="Y3707" s="228"/>
      <c r="Z3707" s="223"/>
    </row>
    <row r="3708" spans="6:28" ht="24" customHeight="1">
      <c r="F3708" s="489"/>
      <c r="G3708" s="489"/>
      <c r="H3708" s="489" t="s">
        <v>2827</v>
      </c>
      <c r="I3708" s="489"/>
      <c r="J3708" s="489"/>
      <c r="K3708" s="353">
        <f>SUM(K3703:K3707)</f>
        <v>9763.4700000000012</v>
      </c>
      <c r="L3708" s="489"/>
      <c r="M3708" s="489"/>
      <c r="N3708" s="489"/>
      <c r="S3708" s="41"/>
      <c r="T3708" s="101" t="s">
        <v>363</v>
      </c>
      <c r="U3708" s="41" t="s">
        <v>2828</v>
      </c>
      <c r="V3708" s="41"/>
      <c r="W3708" s="86" t="s">
        <v>363</v>
      </c>
      <c r="X3708" s="41">
        <v>130</v>
      </c>
      <c r="Y3708" s="41"/>
      <c r="Z3708" s="223"/>
    </row>
    <row r="3709" spans="6:28" ht="24" customHeight="1">
      <c r="F3709" s="489"/>
      <c r="G3709" s="489"/>
      <c r="H3709" s="489" t="s">
        <v>2829</v>
      </c>
      <c r="I3709" s="489"/>
      <c r="J3709" s="489"/>
      <c r="K3709" s="495">
        <f>K3708/10</f>
        <v>976.34700000000009</v>
      </c>
      <c r="L3709" s="489"/>
      <c r="M3709" s="489"/>
      <c r="N3709" s="489">
        <f>L3709</f>
        <v>0</v>
      </c>
      <c r="S3709" s="41"/>
      <c r="T3709" s="101"/>
      <c r="U3709" s="41"/>
      <c r="V3709" s="41"/>
      <c r="W3709" s="86"/>
      <c r="X3709" s="41">
        <f>SUM(X3701:X3708)</f>
        <v>11964.5424</v>
      </c>
      <c r="Y3709" s="41"/>
      <c r="Z3709" s="223"/>
    </row>
    <row r="3710" spans="6:28" ht="24" customHeight="1">
      <c r="F3710" s="489"/>
      <c r="G3710" s="489"/>
      <c r="H3710" s="489"/>
      <c r="I3710" s="489"/>
      <c r="J3710" s="489"/>
      <c r="K3710" s="489"/>
      <c r="L3710" s="489"/>
      <c r="M3710" s="489"/>
      <c r="N3710" s="489"/>
      <c r="X3710" s="41">
        <f>X3709/S3707</f>
        <v>4923.6799999999994</v>
      </c>
      <c r="Y3710" s="41"/>
      <c r="Z3710" s="223" t="s">
        <v>788</v>
      </c>
    </row>
    <row r="3711" spans="6:28" ht="24" customHeight="1">
      <c r="F3711" s="712" t="s">
        <v>2830</v>
      </c>
      <c r="G3711" s="712"/>
      <c r="H3711" s="712"/>
      <c r="I3711" s="712"/>
      <c r="J3711" s="712"/>
      <c r="K3711" s="712"/>
      <c r="L3711" s="712"/>
      <c r="M3711" s="712"/>
      <c r="N3711" s="489"/>
      <c r="W3711" s="28" t="s">
        <v>2831</v>
      </c>
      <c r="X3711" s="28">
        <v>3584</v>
      </c>
      <c r="Z3711" s="223"/>
    </row>
    <row r="3712" spans="6:28" ht="36.75" customHeight="1">
      <c r="F3712" s="496"/>
      <c r="G3712" s="496"/>
      <c r="H3712" s="497" t="s">
        <v>2832</v>
      </c>
      <c r="I3712" s="497"/>
      <c r="J3712" s="497"/>
      <c r="K3712" s="497"/>
      <c r="L3712" s="496"/>
      <c r="M3712" s="712"/>
      <c r="N3712" s="489"/>
      <c r="S3712" s="28"/>
      <c r="U3712" s="41" t="s">
        <v>2833</v>
      </c>
      <c r="Z3712" s="223"/>
    </row>
    <row r="3713" spans="6:26" ht="81" customHeight="1">
      <c r="F3713" s="498">
        <v>36</v>
      </c>
      <c r="G3713" s="496" t="s">
        <v>1125</v>
      </c>
      <c r="H3713" s="499" t="s">
        <v>2834</v>
      </c>
      <c r="I3713" s="500">
        <v>34.6</v>
      </c>
      <c r="J3713" s="501" t="str">
        <f>G3713</f>
        <v>Rmt</v>
      </c>
      <c r="K3713" s="498">
        <f>I3713*F3713</f>
        <v>1245.6000000000001</v>
      </c>
      <c r="L3713" s="496"/>
      <c r="M3713" s="712"/>
      <c r="N3713" s="489"/>
      <c r="S3713" s="483"/>
      <c r="T3713" s="483"/>
      <c r="U3713" s="491" t="s">
        <v>2835</v>
      </c>
      <c r="V3713" s="491"/>
      <c r="W3713" s="491"/>
      <c r="X3713" s="491"/>
      <c r="Y3713" s="491"/>
      <c r="Z3713" s="223"/>
    </row>
    <row r="3714" spans="6:26" ht="36.75" customHeight="1">
      <c r="F3714" s="498">
        <v>9</v>
      </c>
      <c r="G3714" s="501" t="s">
        <v>788</v>
      </c>
      <c r="H3714" s="502" t="s">
        <v>2836</v>
      </c>
      <c r="I3714" s="498">
        <v>350</v>
      </c>
      <c r="J3714" s="501" t="str">
        <f>G3714</f>
        <v>Sqm</v>
      </c>
      <c r="K3714" s="498">
        <f>I3714*F3714</f>
        <v>3150</v>
      </c>
      <c r="L3714" s="496"/>
      <c r="M3714" s="712"/>
      <c r="N3714" s="489"/>
      <c r="S3714" s="483"/>
      <c r="T3714" s="483"/>
      <c r="U3714" s="491"/>
      <c r="V3714" s="491"/>
      <c r="W3714" s="491"/>
      <c r="X3714" s="491"/>
      <c r="Y3714" s="491"/>
      <c r="Z3714" s="223"/>
    </row>
    <row r="3715" spans="6:26" ht="36.75" customHeight="1">
      <c r="F3715" s="498">
        <v>9</v>
      </c>
      <c r="G3715" s="501" t="s">
        <v>788</v>
      </c>
      <c r="H3715" s="502" t="s">
        <v>2837</v>
      </c>
      <c r="I3715" s="498">
        <v>860.8</v>
      </c>
      <c r="J3715" s="501" t="str">
        <f>G3715</f>
        <v>Sqm</v>
      </c>
      <c r="K3715" s="498">
        <f>I3715*F3715</f>
        <v>7747.2</v>
      </c>
      <c r="L3715" s="496"/>
      <c r="M3715" s="712"/>
      <c r="N3715" s="489"/>
      <c r="S3715" s="225">
        <v>14.43</v>
      </c>
      <c r="T3715" s="226" t="s">
        <v>488</v>
      </c>
      <c r="U3715" s="485" t="s">
        <v>2787</v>
      </c>
      <c r="V3715" s="228">
        <f>V3701</f>
        <v>287</v>
      </c>
      <c r="W3715" s="226" t="s">
        <v>488</v>
      </c>
      <c r="X3715" s="228">
        <f>V3715*S3715</f>
        <v>4141.41</v>
      </c>
      <c r="Y3715" s="228"/>
      <c r="Z3715" s="223"/>
    </row>
    <row r="3716" spans="6:26" ht="36.75" customHeight="1">
      <c r="F3716" s="498">
        <v>9</v>
      </c>
      <c r="G3716" s="501" t="s">
        <v>788</v>
      </c>
      <c r="H3716" s="499" t="s">
        <v>2838</v>
      </c>
      <c r="I3716" s="498">
        <f>R2416</f>
        <v>1520.3084656084654</v>
      </c>
      <c r="J3716" s="501" t="str">
        <f>G3716</f>
        <v>Sqm</v>
      </c>
      <c r="K3716" s="498">
        <f>I3716*F3716</f>
        <v>13682.776190476188</v>
      </c>
      <c r="L3716" s="496"/>
      <c r="M3716" s="712"/>
      <c r="N3716" s="489"/>
      <c r="S3716" s="486">
        <v>10.433999999999999</v>
      </c>
      <c r="T3716" s="226" t="s">
        <v>1125</v>
      </c>
      <c r="U3716" s="229" t="s">
        <v>2809</v>
      </c>
      <c r="V3716" s="228">
        <f t="shared" ref="V3716:V3721" si="339">V3702</f>
        <v>33.89</v>
      </c>
      <c r="W3716" s="226" t="s">
        <v>1125</v>
      </c>
      <c r="X3716" s="228">
        <v>501.66</v>
      </c>
      <c r="Y3716" s="228"/>
      <c r="Z3716" s="223"/>
    </row>
    <row r="3717" spans="6:26" ht="36.75" customHeight="1">
      <c r="F3717" s="498">
        <v>9</v>
      </c>
      <c r="G3717" s="501" t="s">
        <v>788</v>
      </c>
      <c r="H3717" s="496" t="s">
        <v>2839</v>
      </c>
      <c r="I3717" s="498">
        <f>K3725</f>
        <v>1941.7999999999997</v>
      </c>
      <c r="J3717" s="501" t="str">
        <f>G3717</f>
        <v>Sqm</v>
      </c>
      <c r="K3717" s="498">
        <f>I3717*F3717</f>
        <v>17476.199999999997</v>
      </c>
      <c r="L3717" s="496"/>
      <c r="M3717" s="712"/>
      <c r="N3717" s="489"/>
      <c r="S3717" s="225">
        <v>2.16</v>
      </c>
      <c r="T3717" s="226" t="s">
        <v>480</v>
      </c>
      <c r="U3717" s="229" t="s">
        <v>2818</v>
      </c>
      <c r="V3717" s="228">
        <f t="shared" si="339"/>
        <v>258.52</v>
      </c>
      <c r="W3717" s="226" t="s">
        <v>480</v>
      </c>
      <c r="X3717" s="228">
        <f>V3717*S3717</f>
        <v>558.40319999999997</v>
      </c>
      <c r="Y3717" s="228"/>
      <c r="Z3717" s="223"/>
    </row>
    <row r="3718" spans="6:26" ht="36.75" customHeight="1">
      <c r="F3718" s="496"/>
      <c r="G3718" s="496"/>
      <c r="H3718" s="496"/>
      <c r="I3718" s="496"/>
      <c r="J3718" s="496"/>
      <c r="K3718" s="498">
        <f>SUM(K3713:K3717)</f>
        <v>43301.776190476186</v>
      </c>
      <c r="L3718" s="496"/>
      <c r="M3718" s="712"/>
      <c r="N3718" s="489"/>
      <c r="S3718" s="225">
        <v>6</v>
      </c>
      <c r="T3718" s="226" t="s">
        <v>969</v>
      </c>
      <c r="U3718" s="229" t="s">
        <v>2840</v>
      </c>
      <c r="V3718" s="228">
        <f t="shared" si="339"/>
        <v>13.1</v>
      </c>
      <c r="W3718" s="226" t="s">
        <v>969</v>
      </c>
      <c r="X3718" s="228">
        <f>V3718*S3718</f>
        <v>78.599999999999994</v>
      </c>
      <c r="Y3718" s="228"/>
      <c r="Z3718" s="234"/>
    </row>
    <row r="3719" spans="6:26" ht="36.75" customHeight="1">
      <c r="F3719" s="496"/>
      <c r="G3719" s="496"/>
      <c r="H3719" s="496" t="s">
        <v>2841</v>
      </c>
      <c r="I3719" s="496"/>
      <c r="J3719" s="501"/>
      <c r="K3719" s="498">
        <f>K3718/9</f>
        <v>4811.3084656084648</v>
      </c>
      <c r="L3719" s="496"/>
      <c r="M3719" s="712"/>
      <c r="N3719" s="489"/>
      <c r="S3719" s="225">
        <v>2</v>
      </c>
      <c r="T3719" s="226" t="s">
        <v>969</v>
      </c>
      <c r="U3719" s="229" t="s">
        <v>2842</v>
      </c>
      <c r="V3719" s="228">
        <f t="shared" si="339"/>
        <v>62.8</v>
      </c>
      <c r="W3719" s="226" t="s">
        <v>2793</v>
      </c>
      <c r="X3719" s="228">
        <f>V3719*S3719</f>
        <v>125.6</v>
      </c>
      <c r="Y3719" s="228"/>
      <c r="Z3719" s="223"/>
    </row>
    <row r="3720" spans="6:26" ht="24" customHeight="1">
      <c r="F3720" s="496"/>
      <c r="G3720" s="496"/>
      <c r="H3720" s="503" t="s">
        <v>2843</v>
      </c>
      <c r="I3720" s="497" t="s">
        <v>2844</v>
      </c>
      <c r="J3720" s="496"/>
      <c r="K3720" s="504">
        <v>3282</v>
      </c>
      <c r="L3720" s="496"/>
      <c r="M3720" s="497"/>
      <c r="N3720" s="489"/>
      <c r="S3720" s="225">
        <v>3</v>
      </c>
      <c r="T3720" s="226" t="s">
        <v>969</v>
      </c>
      <c r="U3720" s="229" t="s">
        <v>2845</v>
      </c>
      <c r="V3720" s="228">
        <f t="shared" si="339"/>
        <v>29.5</v>
      </c>
      <c r="W3720" s="226" t="s">
        <v>196</v>
      </c>
      <c r="X3720" s="228">
        <f>V3720*S3720</f>
        <v>88.5</v>
      </c>
      <c r="Y3720" s="228"/>
      <c r="Z3720" s="223"/>
    </row>
    <row r="3721" spans="6:26" ht="24" customHeight="1">
      <c r="F3721" s="496"/>
      <c r="G3721" s="496"/>
      <c r="H3721" s="496" t="s">
        <v>2846</v>
      </c>
      <c r="I3721" s="496"/>
      <c r="J3721" s="496"/>
      <c r="K3721" s="496"/>
      <c r="L3721" s="496"/>
      <c r="M3721" s="712"/>
      <c r="N3721" s="489"/>
      <c r="S3721" s="225">
        <v>1.823</v>
      </c>
      <c r="T3721" s="226" t="s">
        <v>788</v>
      </c>
      <c r="U3721" s="229" t="s">
        <v>1697</v>
      </c>
      <c r="V3721" s="228">
        <f t="shared" si="339"/>
        <v>2156</v>
      </c>
      <c r="W3721" s="226" t="s">
        <v>788</v>
      </c>
      <c r="X3721" s="228">
        <f>V3721*S3721</f>
        <v>3930.3879999999999</v>
      </c>
      <c r="Y3721" s="228"/>
      <c r="Z3721" s="223"/>
    </row>
    <row r="3722" spans="6:26" ht="24" customHeight="1">
      <c r="F3722" s="498">
        <v>1</v>
      </c>
      <c r="G3722" s="501" t="s">
        <v>1820</v>
      </c>
      <c r="H3722" s="498" t="s">
        <v>2847</v>
      </c>
      <c r="I3722" s="498">
        <f>AG17</f>
        <v>950.59999999999991</v>
      </c>
      <c r="J3722" s="501" t="s">
        <v>1820</v>
      </c>
      <c r="K3722" s="496">
        <f>I3722*F3722</f>
        <v>950.59999999999991</v>
      </c>
      <c r="L3722" s="496"/>
      <c r="M3722" s="712"/>
      <c r="N3722" s="489"/>
      <c r="S3722" s="41"/>
      <c r="T3722" s="101" t="s">
        <v>363</v>
      </c>
      <c r="U3722" s="41" t="s">
        <v>2828</v>
      </c>
      <c r="V3722" s="41"/>
      <c r="W3722" s="86" t="s">
        <v>363</v>
      </c>
      <c r="X3722" s="41">
        <v>110</v>
      </c>
      <c r="Y3722" s="41"/>
      <c r="Z3722" s="223"/>
    </row>
    <row r="3723" spans="6:26" ht="24" customHeight="1">
      <c r="F3723" s="498">
        <v>1</v>
      </c>
      <c r="G3723" s="501" t="s">
        <v>1820</v>
      </c>
      <c r="H3723" s="499" t="s">
        <v>271</v>
      </c>
      <c r="I3723" s="498">
        <f>AG11</f>
        <v>702.8</v>
      </c>
      <c r="J3723" s="501" t="s">
        <v>1820</v>
      </c>
      <c r="K3723" s="496">
        <f>I3723*F3723</f>
        <v>702.8</v>
      </c>
      <c r="L3723" s="496"/>
      <c r="M3723" s="712"/>
      <c r="N3723" s="489"/>
      <c r="S3723" s="41"/>
      <c r="T3723" s="101"/>
      <c r="U3723" s="41"/>
      <c r="V3723" s="41"/>
      <c r="W3723" s="86"/>
      <c r="X3723" s="41">
        <f>SUM(X3715:X3722)</f>
        <v>9534.5612000000001</v>
      </c>
      <c r="Y3723" s="41"/>
      <c r="Z3723" s="223"/>
    </row>
    <row r="3724" spans="6:26" ht="24" customHeight="1">
      <c r="F3724" s="498">
        <v>0.5</v>
      </c>
      <c r="G3724" s="501" t="s">
        <v>1820</v>
      </c>
      <c r="H3724" s="499" t="s">
        <v>276</v>
      </c>
      <c r="I3724" s="498">
        <f>AG12</f>
        <v>576.79999999999995</v>
      </c>
      <c r="J3724" s="501" t="s">
        <v>1820</v>
      </c>
      <c r="K3724" s="496">
        <f>I3724*F3724</f>
        <v>288.39999999999998</v>
      </c>
      <c r="L3724" s="496"/>
      <c r="M3724" s="712"/>
      <c r="N3724" s="489"/>
      <c r="X3724" s="41">
        <f>X3723/S3721</f>
        <v>5230.1487657707075</v>
      </c>
      <c r="Y3724" s="41"/>
      <c r="Z3724" s="223"/>
    </row>
    <row r="3725" spans="6:26" ht="24" customHeight="1">
      <c r="F3725" s="496"/>
      <c r="G3725" s="496"/>
      <c r="H3725" s="496"/>
      <c r="I3725" s="496"/>
      <c r="J3725" s="496"/>
      <c r="K3725" s="496">
        <f>SUM(K3722:K3724)</f>
        <v>1941.7999999999997</v>
      </c>
      <c r="L3725" s="496"/>
      <c r="M3725" s="712"/>
      <c r="N3725" s="489"/>
      <c r="X3725" s="28">
        <v>3873</v>
      </c>
      <c r="Z3725" s="223"/>
    </row>
    <row r="3726" spans="6:26" ht="24" customHeight="1">
      <c r="F3726" s="496"/>
      <c r="G3726" s="496"/>
      <c r="H3726" s="496"/>
      <c r="I3726" s="496"/>
      <c r="J3726" s="496"/>
      <c r="K3726" s="496"/>
      <c r="L3726" s="496"/>
      <c r="M3726" s="712"/>
      <c r="N3726" s="489"/>
      <c r="S3726" s="223"/>
      <c r="T3726" s="231"/>
      <c r="U3726" s="223"/>
      <c r="V3726" s="223"/>
      <c r="W3726" s="236"/>
      <c r="X3726" s="237"/>
      <c r="Y3726" s="237"/>
      <c r="Z3726" s="223"/>
    </row>
    <row r="3727" spans="6:26" ht="24" customHeight="1">
      <c r="F3727" s="489"/>
      <c r="G3727" s="489"/>
      <c r="H3727" s="489"/>
      <c r="I3727" s="489"/>
      <c r="J3727" s="489"/>
      <c r="K3727" s="489"/>
      <c r="L3727" s="489"/>
      <c r="M3727" s="489"/>
      <c r="N3727" s="489"/>
      <c r="S3727" s="28"/>
    </row>
    <row r="3728" spans="6:26" ht="24" customHeight="1">
      <c r="G3728" s="28"/>
      <c r="H3728" s="138"/>
      <c r="J3728" s="28"/>
      <c r="K3728" s="489"/>
      <c r="L3728" s="489"/>
      <c r="M3728" s="489"/>
      <c r="N3728" s="489"/>
    </row>
    <row r="3729" spans="6:14" ht="24" customHeight="1">
      <c r="F3729" s="489"/>
      <c r="G3729" s="489"/>
      <c r="H3729" s="505" t="s">
        <v>2848</v>
      </c>
      <c r="I3729" s="492"/>
      <c r="J3729" s="489"/>
      <c r="K3729" s="489"/>
      <c r="L3729" s="489"/>
      <c r="M3729" s="489"/>
      <c r="N3729" s="489"/>
    </row>
    <row r="3730" spans="6:14" ht="24" customHeight="1">
      <c r="F3730" s="489"/>
      <c r="G3730" s="489"/>
      <c r="H3730" s="489"/>
      <c r="I3730" s="489"/>
      <c r="J3730" s="489"/>
      <c r="K3730" s="489"/>
      <c r="L3730" s="489"/>
      <c r="M3730" s="489"/>
      <c r="N3730" s="489"/>
    </row>
    <row r="3731" spans="6:14" ht="24" customHeight="1">
      <c r="F3731" s="406"/>
      <c r="G3731" s="493"/>
      <c r="H3731" s="506" t="s">
        <v>2849</v>
      </c>
      <c r="I3731" s="406"/>
      <c r="J3731" s="406"/>
      <c r="K3731" s="489"/>
      <c r="L3731" s="489"/>
      <c r="M3731" s="489"/>
      <c r="N3731" s="489"/>
    </row>
    <row r="3732" spans="6:14" ht="24" customHeight="1">
      <c r="F3732" s="406"/>
      <c r="G3732" s="493"/>
      <c r="H3732" s="494"/>
      <c r="I3732" s="406"/>
      <c r="J3732" s="406"/>
      <c r="K3732" s="489"/>
      <c r="L3732" s="489"/>
      <c r="M3732" s="489"/>
      <c r="N3732" s="489"/>
    </row>
    <row r="3733" spans="6:14" ht="24" customHeight="1">
      <c r="F3733" s="489"/>
      <c r="G3733" s="489"/>
      <c r="H3733" s="370" t="s">
        <v>2850</v>
      </c>
      <c r="I3733" s="406"/>
      <c r="J3733" s="489"/>
      <c r="K3733" s="489"/>
      <c r="L3733" s="489"/>
      <c r="M3733" s="489"/>
      <c r="N3733" s="489"/>
    </row>
    <row r="3734" spans="6:14" ht="24" customHeight="1">
      <c r="F3734" s="406">
        <v>5</v>
      </c>
      <c r="G3734" s="493" t="s">
        <v>392</v>
      </c>
      <c r="H3734" s="406" t="s">
        <v>2851</v>
      </c>
      <c r="I3734" s="406">
        <v>27.3</v>
      </c>
      <c r="J3734" s="493" t="s">
        <v>392</v>
      </c>
      <c r="K3734" s="493">
        <f>I3734*F3734</f>
        <v>136.5</v>
      </c>
      <c r="L3734" s="489"/>
      <c r="M3734" s="489"/>
      <c r="N3734" s="489"/>
    </row>
    <row r="3735" spans="6:14" ht="24" customHeight="1">
      <c r="F3735" s="406">
        <v>1</v>
      </c>
      <c r="G3735" s="493" t="s">
        <v>1130</v>
      </c>
      <c r="H3735" s="406" t="s">
        <v>2852</v>
      </c>
      <c r="I3735" s="406">
        <f>AG13</f>
        <v>861</v>
      </c>
      <c r="J3735" s="493" t="s">
        <v>1130</v>
      </c>
      <c r="K3735" s="493">
        <f>I3735*F3735</f>
        <v>861</v>
      </c>
      <c r="L3735" s="489"/>
      <c r="M3735" s="489"/>
      <c r="N3735" s="489"/>
    </row>
    <row r="3736" spans="6:14" ht="24" customHeight="1">
      <c r="F3736" s="406"/>
      <c r="G3736" s="507" t="s">
        <v>363</v>
      </c>
      <c r="H3736" s="494" t="s">
        <v>2540</v>
      </c>
      <c r="I3736" s="489"/>
      <c r="J3736" s="507" t="s">
        <v>363</v>
      </c>
      <c r="K3736" s="493">
        <v>0.8</v>
      </c>
      <c r="L3736" s="489"/>
      <c r="M3736" s="489"/>
      <c r="N3736" s="489"/>
    </row>
    <row r="3737" spans="6:14" ht="24" customHeight="1">
      <c r="F3737" s="489"/>
      <c r="G3737" s="489"/>
      <c r="H3737" s="494" t="s">
        <v>2151</v>
      </c>
      <c r="I3737" s="489"/>
      <c r="J3737" s="489"/>
      <c r="K3737" s="508">
        <f>SUM(K3734:K3736)</f>
        <v>998.3</v>
      </c>
      <c r="L3737" s="489"/>
      <c r="M3737" s="489"/>
      <c r="N3737" s="489"/>
    </row>
    <row r="3738" spans="6:14" ht="24" customHeight="1">
      <c r="F3738" s="489"/>
      <c r="G3738" s="489"/>
      <c r="H3738" s="494" t="s">
        <v>2204</v>
      </c>
      <c r="I3738" s="489"/>
      <c r="J3738" s="489"/>
      <c r="K3738" s="509">
        <f>K3737/10</f>
        <v>99.83</v>
      </c>
      <c r="L3738" s="489"/>
      <c r="M3738" s="489"/>
      <c r="N3738" s="489"/>
    </row>
    <row r="3741" spans="6:14" ht="24" customHeight="1">
      <c r="F3741" s="489"/>
      <c r="G3741" s="489"/>
      <c r="H3741" s="489"/>
      <c r="I3741" s="489"/>
      <c r="J3741" s="489"/>
      <c r="K3741" s="489"/>
      <c r="L3741" s="489"/>
      <c r="M3741" s="489"/>
      <c r="N3741" s="489"/>
    </row>
    <row r="3742" spans="6:14" ht="24" customHeight="1">
      <c r="F3742" s="406"/>
      <c r="G3742" s="493"/>
      <c r="H3742" s="506" t="s">
        <v>2853</v>
      </c>
      <c r="I3742" s="406"/>
      <c r="J3742" s="406"/>
      <c r="K3742" s="489"/>
      <c r="L3742" s="489"/>
      <c r="M3742" s="489"/>
      <c r="N3742" s="489"/>
    </row>
    <row r="3743" spans="6:14" ht="24" customHeight="1">
      <c r="F3743" s="406" t="s">
        <v>2854</v>
      </c>
      <c r="G3743" s="493" t="s">
        <v>2793</v>
      </c>
      <c r="H3743" s="494"/>
      <c r="I3743" s="406" t="s">
        <v>2855</v>
      </c>
      <c r="J3743" s="493" t="s">
        <v>2793</v>
      </c>
      <c r="K3743" s="493" t="s">
        <v>2856</v>
      </c>
      <c r="L3743" s="489"/>
      <c r="M3743" s="489"/>
      <c r="N3743" s="489"/>
    </row>
    <row r="3744" spans="6:14" ht="24" customHeight="1">
      <c r="F3744" s="406"/>
      <c r="G3744" s="493"/>
      <c r="H3744" s="494"/>
      <c r="I3744" s="406"/>
      <c r="J3744" s="406"/>
      <c r="K3744" s="489"/>
      <c r="L3744" s="489"/>
      <c r="M3744" s="489"/>
      <c r="N3744" s="489"/>
    </row>
    <row r="3745" spans="6:14" ht="40.5" customHeight="1">
      <c r="F3745" s="406">
        <v>0.15</v>
      </c>
      <c r="G3745" s="493" t="s">
        <v>249</v>
      </c>
      <c r="H3745" s="510" t="s">
        <v>2857</v>
      </c>
      <c r="I3745" s="511">
        <f>I3639</f>
        <v>2525.42</v>
      </c>
      <c r="J3745" s="493" t="s">
        <v>249</v>
      </c>
      <c r="K3745" s="406">
        <f t="shared" ref="K3745:K3750" si="340">I3745*F3745</f>
        <v>378.81299999999999</v>
      </c>
      <c r="L3745" s="489"/>
      <c r="M3745" s="489"/>
      <c r="N3745" s="489"/>
    </row>
    <row r="3746" spans="6:14" ht="24" customHeight="1">
      <c r="F3746" s="512">
        <v>7.1999999999999995E-2</v>
      </c>
      <c r="G3746" s="493" t="s">
        <v>962</v>
      </c>
      <c r="H3746" s="494" t="s">
        <v>26</v>
      </c>
      <c r="I3746" s="406">
        <f>I9</f>
        <v>5800</v>
      </c>
      <c r="J3746" s="493" t="s">
        <v>962</v>
      </c>
      <c r="K3746" s="406">
        <f t="shared" si="340"/>
        <v>417.59999999999997</v>
      </c>
      <c r="L3746" s="489"/>
      <c r="M3746" s="489"/>
      <c r="N3746" s="489"/>
    </row>
    <row r="3747" spans="6:14" ht="24" customHeight="1">
      <c r="F3747" s="406">
        <v>14.5</v>
      </c>
      <c r="G3747" s="493" t="s">
        <v>488</v>
      </c>
      <c r="H3747" s="370" t="s">
        <v>2858</v>
      </c>
      <c r="I3747" s="511">
        <f>P2433</f>
        <v>24.5</v>
      </c>
      <c r="J3747" s="493" t="s">
        <v>488</v>
      </c>
      <c r="K3747" s="406">
        <f t="shared" si="340"/>
        <v>355.25</v>
      </c>
      <c r="L3747" s="489"/>
      <c r="M3747" s="489"/>
      <c r="N3747" s="489"/>
    </row>
    <row r="3748" spans="6:14" ht="24" customHeight="1">
      <c r="F3748" s="406">
        <v>1.6</v>
      </c>
      <c r="G3748" s="493" t="s">
        <v>1820</v>
      </c>
      <c r="H3748" s="406" t="s">
        <v>2859</v>
      </c>
      <c r="I3748" s="406">
        <f>AG9</f>
        <v>1076.5999999999999</v>
      </c>
      <c r="J3748" s="493" t="s">
        <v>1820</v>
      </c>
      <c r="K3748" s="406">
        <f t="shared" si="340"/>
        <v>1722.56</v>
      </c>
      <c r="L3748" s="489"/>
      <c r="M3748" s="489"/>
      <c r="N3748" s="489"/>
    </row>
    <row r="3749" spans="6:14" ht="24" customHeight="1">
      <c r="F3749" s="406">
        <v>0.5</v>
      </c>
      <c r="G3749" s="493" t="s">
        <v>1820</v>
      </c>
      <c r="H3749" s="494" t="s">
        <v>271</v>
      </c>
      <c r="I3749" s="406">
        <f>AG11</f>
        <v>702.8</v>
      </c>
      <c r="J3749" s="493" t="s">
        <v>1820</v>
      </c>
      <c r="K3749" s="406">
        <f t="shared" si="340"/>
        <v>351.4</v>
      </c>
      <c r="L3749" s="489"/>
      <c r="M3749" s="489"/>
      <c r="N3749" s="489"/>
    </row>
    <row r="3750" spans="6:14" ht="24" customHeight="1">
      <c r="F3750" s="406">
        <v>1.1000000000000001</v>
      </c>
      <c r="G3750" s="493" t="s">
        <v>1820</v>
      </c>
      <c r="H3750" s="494" t="s">
        <v>276</v>
      </c>
      <c r="I3750" s="406">
        <v>280</v>
      </c>
      <c r="J3750" s="493" t="s">
        <v>1820</v>
      </c>
      <c r="K3750" s="406">
        <f t="shared" si="340"/>
        <v>308</v>
      </c>
      <c r="L3750" s="489"/>
      <c r="M3750" s="489"/>
      <c r="N3750" s="489"/>
    </row>
    <row r="3751" spans="6:14" ht="24" customHeight="1">
      <c r="F3751" s="406"/>
      <c r="G3751" s="493"/>
      <c r="H3751" s="494" t="s">
        <v>2540</v>
      </c>
      <c r="I3751" s="513" t="s">
        <v>363</v>
      </c>
      <c r="J3751" s="493"/>
      <c r="K3751" s="406">
        <v>52.63</v>
      </c>
      <c r="L3751" s="489"/>
      <c r="M3751" s="489"/>
      <c r="N3751" s="489"/>
    </row>
    <row r="3752" spans="6:14" ht="24" customHeight="1">
      <c r="F3752" s="406"/>
      <c r="G3752" s="493"/>
      <c r="H3752" s="494" t="s">
        <v>2151</v>
      </c>
      <c r="I3752" s="489"/>
      <c r="J3752" s="489"/>
      <c r="K3752" s="406">
        <f>SUM(K3745:K3751)</f>
        <v>3586.2530000000002</v>
      </c>
      <c r="L3752" s="489"/>
      <c r="M3752" s="489"/>
      <c r="N3752" s="489"/>
    </row>
    <row r="3753" spans="6:14" ht="24" customHeight="1">
      <c r="F3753" s="489"/>
      <c r="G3753" s="489"/>
      <c r="H3753" s="494" t="s">
        <v>2204</v>
      </c>
      <c r="I3753" s="489"/>
      <c r="J3753" s="489"/>
      <c r="K3753" s="514">
        <f>K3752/10</f>
        <v>358.62530000000004</v>
      </c>
      <c r="L3753" s="489"/>
      <c r="M3753" s="489"/>
      <c r="N3753" s="489"/>
    </row>
    <row r="3754" spans="6:14" ht="24" customHeight="1">
      <c r="F3754" s="489"/>
      <c r="G3754" s="489"/>
      <c r="H3754" s="489"/>
      <c r="I3754" s="489"/>
      <c r="J3754" s="489"/>
      <c r="K3754" s="489"/>
      <c r="L3754" s="489"/>
      <c r="M3754" s="489"/>
      <c r="N3754" s="489"/>
    </row>
    <row r="3755" spans="6:14" ht="24" customHeight="1">
      <c r="F3755" s="64"/>
      <c r="G3755" s="38" t="s">
        <v>67</v>
      </c>
      <c r="I3755" s="515"/>
      <c r="J3755" s="516"/>
    </row>
    <row r="3756" spans="6:14" ht="24" customHeight="1">
      <c r="H3756" s="26"/>
    </row>
    <row r="3757" spans="6:14" ht="24" customHeight="1">
      <c r="H3757" s="517" t="s">
        <v>2860</v>
      </c>
    </row>
    <row r="3758" spans="6:14" ht="24" customHeight="1">
      <c r="H3758" s="35" t="s">
        <v>48</v>
      </c>
    </row>
    <row r="3759" spans="6:14" ht="24" customHeight="1">
      <c r="F3759" s="40">
        <v>21.55</v>
      </c>
      <c r="G3759" s="38" t="s">
        <v>392</v>
      </c>
      <c r="H3759" s="26" t="s">
        <v>2861</v>
      </c>
      <c r="I3759" s="40">
        <f>I3735</f>
        <v>861</v>
      </c>
      <c r="J3759" s="38" t="s">
        <v>392</v>
      </c>
      <c r="K3759" s="40">
        <f>I3759*F3759</f>
        <v>18554.55</v>
      </c>
    </row>
    <row r="3760" spans="6:14" ht="24" customHeight="1">
      <c r="F3760" s="40"/>
      <c r="G3760" s="38"/>
      <c r="H3760" s="26" t="s">
        <v>2862</v>
      </c>
      <c r="I3760" s="40"/>
      <c r="J3760" s="38"/>
      <c r="K3760" s="40">
        <f>K3759*10/100</f>
        <v>1855.4549999999999</v>
      </c>
    </row>
    <row r="3761" spans="6:11" ht="24" customHeight="1">
      <c r="F3761" s="40">
        <v>3.7</v>
      </c>
      <c r="G3761" s="38" t="s">
        <v>392</v>
      </c>
      <c r="H3761" s="26" t="s">
        <v>2863</v>
      </c>
      <c r="I3761" s="40">
        <f>Z32</f>
        <v>45000</v>
      </c>
      <c r="J3761" s="38" t="s">
        <v>962</v>
      </c>
      <c r="K3761" s="40">
        <f>I3761*F3761/10000</f>
        <v>16.649999999999999</v>
      </c>
    </row>
    <row r="3762" spans="6:11" ht="24" customHeight="1">
      <c r="F3762" s="489"/>
      <c r="G3762" s="489"/>
      <c r="H3762" s="26" t="s">
        <v>2864</v>
      </c>
      <c r="I3762" s="40"/>
      <c r="J3762" s="26"/>
      <c r="K3762" s="40">
        <f>K3761*5/100</f>
        <v>0.83250000000000002</v>
      </c>
    </row>
    <row r="3763" spans="6:11" ht="24" customHeight="1">
      <c r="F3763" s="40">
        <v>18</v>
      </c>
      <c r="G3763" s="38" t="s">
        <v>1420</v>
      </c>
      <c r="H3763" s="26" t="s">
        <v>2865</v>
      </c>
      <c r="I3763" s="40">
        <v>15</v>
      </c>
      <c r="J3763" s="38" t="s">
        <v>969</v>
      </c>
      <c r="K3763" s="40">
        <f>I3763*F3763</f>
        <v>270</v>
      </c>
    </row>
    <row r="3764" spans="6:11" ht="24" customHeight="1">
      <c r="F3764" s="40"/>
      <c r="G3764" s="38"/>
      <c r="H3764" s="26" t="s">
        <v>2866</v>
      </c>
      <c r="I3764" s="40"/>
      <c r="J3764" s="26"/>
      <c r="K3764" s="40">
        <f>K3763*10/100</f>
        <v>27</v>
      </c>
    </row>
    <row r="3765" spans="6:11" ht="24" customHeight="1">
      <c r="F3765" s="40">
        <v>28</v>
      </c>
      <c r="G3765" s="38" t="s">
        <v>1420</v>
      </c>
      <c r="H3765" s="26" t="s">
        <v>2867</v>
      </c>
      <c r="I3765" s="40">
        <v>1</v>
      </c>
      <c r="J3765" s="38" t="s">
        <v>1420</v>
      </c>
      <c r="K3765" s="40">
        <f>I3765*F3765</f>
        <v>28</v>
      </c>
    </row>
    <row r="3766" spans="6:11" ht="33" customHeight="1">
      <c r="F3766" s="40">
        <v>28</v>
      </c>
      <c r="G3766" s="38" t="s">
        <v>1420</v>
      </c>
      <c r="H3766" s="26" t="s">
        <v>2868</v>
      </c>
      <c r="I3766" s="40">
        <v>2</v>
      </c>
      <c r="J3766" s="38" t="s">
        <v>1420</v>
      </c>
      <c r="K3766" s="40">
        <f>I3766*F3766</f>
        <v>56</v>
      </c>
    </row>
    <row r="3767" spans="6:11" ht="36" customHeight="1">
      <c r="F3767" s="40">
        <v>4</v>
      </c>
      <c r="G3767" s="38" t="s">
        <v>1420</v>
      </c>
      <c r="H3767" s="247" t="s">
        <v>2869</v>
      </c>
      <c r="I3767" s="40">
        <f>AG17</f>
        <v>950.59999999999991</v>
      </c>
      <c r="J3767" s="38" t="s">
        <v>1420</v>
      </c>
      <c r="K3767" s="40">
        <f>I3767*F3767</f>
        <v>3802.3999999999996</v>
      </c>
    </row>
    <row r="3768" spans="6:11" ht="24" customHeight="1">
      <c r="F3768" s="40">
        <v>2</v>
      </c>
      <c r="G3768" s="38" t="s">
        <v>1420</v>
      </c>
      <c r="H3768" s="302" t="s">
        <v>2870</v>
      </c>
      <c r="I3768" s="40">
        <f>AG19</f>
        <v>1052.8</v>
      </c>
      <c r="J3768" s="38" t="s">
        <v>1420</v>
      </c>
      <c r="K3768" s="40">
        <f>I3768*F3768</f>
        <v>2105.6</v>
      </c>
    </row>
    <row r="3769" spans="6:11" ht="24" customHeight="1">
      <c r="F3769" s="40">
        <v>6</v>
      </c>
      <c r="G3769" s="38" t="s">
        <v>1420</v>
      </c>
      <c r="H3769" s="302" t="s">
        <v>2871</v>
      </c>
      <c r="I3769" s="40">
        <f>AG11</f>
        <v>702.8</v>
      </c>
      <c r="J3769" s="38" t="s">
        <v>1420</v>
      </c>
      <c r="K3769" s="40">
        <f>I3769*F3769</f>
        <v>4216.7999999999993</v>
      </c>
    </row>
    <row r="3770" spans="6:11" ht="24" customHeight="1">
      <c r="F3770" s="40"/>
      <c r="G3770" s="38" t="s">
        <v>106</v>
      </c>
      <c r="H3770" s="26" t="s">
        <v>2540</v>
      </c>
      <c r="I3770" s="26" t="s">
        <v>27</v>
      </c>
      <c r="J3770" s="26" t="s">
        <v>106</v>
      </c>
      <c r="K3770" s="40">
        <v>5.38</v>
      </c>
    </row>
    <row r="3771" spans="6:11" ht="24" customHeight="1">
      <c r="F3771" s="40"/>
      <c r="G3771" s="38"/>
      <c r="H3771" s="26"/>
      <c r="I3771" s="40"/>
      <c r="J3771" s="38"/>
      <c r="K3771" s="40"/>
    </row>
    <row r="3772" spans="6:11" ht="24" customHeight="1">
      <c r="H3772" s="26" t="s">
        <v>2872</v>
      </c>
      <c r="K3772" s="40">
        <f>SUM(K3759:K3771)</f>
        <v>30938.667499999996</v>
      </c>
    </row>
    <row r="3773" spans="6:11" ht="24" customHeight="1">
      <c r="K3773" s="35" t="s">
        <v>48</v>
      </c>
    </row>
    <row r="3774" spans="6:11" ht="24" customHeight="1">
      <c r="H3774" s="37" t="s">
        <v>2873</v>
      </c>
      <c r="I3774" s="41"/>
      <c r="J3774" s="218" t="s">
        <v>2338</v>
      </c>
      <c r="K3774" s="39">
        <f>K3772/18</f>
        <v>1718.814861111111</v>
      </c>
    </row>
    <row r="3775" spans="6:11" ht="24" customHeight="1">
      <c r="H3775" s="37"/>
      <c r="I3775" s="41"/>
      <c r="J3775" s="218"/>
      <c r="K3775" s="35" t="s">
        <v>48</v>
      </c>
    </row>
    <row r="3776" spans="6:11" ht="24" customHeight="1">
      <c r="H3776" s="37"/>
      <c r="I3776" s="41"/>
      <c r="J3776" s="218"/>
      <c r="K3776" s="39"/>
    </row>
    <row r="3777" spans="6:12" ht="24" customHeight="1">
      <c r="F3777" s="489"/>
      <c r="G3777" s="489"/>
      <c r="H3777" s="518" t="s">
        <v>2874</v>
      </c>
      <c r="I3777" s="489"/>
      <c r="J3777" s="489"/>
      <c r="K3777" s="489"/>
      <c r="L3777" s="489"/>
    </row>
    <row r="3778" spans="6:12" ht="24" customHeight="1">
      <c r="G3778" s="483" t="s">
        <v>2875</v>
      </c>
      <c r="H3778" s="483"/>
      <c r="I3778" s="483"/>
      <c r="J3778" s="483"/>
      <c r="K3778" s="484"/>
      <c r="L3778" s="484"/>
    </row>
    <row r="3779" spans="6:12" ht="24" customHeight="1">
      <c r="G3779" s="225"/>
      <c r="H3779" s="226"/>
      <c r="I3779" s="227"/>
      <c r="J3779" s="228"/>
      <c r="K3779" s="226"/>
      <c r="L3779" s="228"/>
    </row>
    <row r="3780" spans="6:12" ht="24" customHeight="1">
      <c r="G3780" s="225"/>
      <c r="H3780" s="226"/>
      <c r="I3780" s="229"/>
      <c r="J3780" s="228"/>
      <c r="K3780" s="226"/>
      <c r="L3780" s="228"/>
    </row>
    <row r="3781" spans="6:12" ht="24" customHeight="1">
      <c r="F3781" s="225">
        <v>38.86</v>
      </c>
      <c r="G3781" s="226" t="s">
        <v>488</v>
      </c>
      <c r="H3781" s="229" t="s">
        <v>2876</v>
      </c>
      <c r="I3781" s="228">
        <f>AD1350</f>
        <v>287</v>
      </c>
      <c r="J3781" s="226" t="s">
        <v>488</v>
      </c>
      <c r="K3781" s="228">
        <f t="shared" ref="K3781:K3788" si="341">I3781*F3781</f>
        <v>11152.82</v>
      </c>
      <c r="L3781" s="223"/>
    </row>
    <row r="3782" spans="6:12" ht="24" customHeight="1">
      <c r="F3782" s="225">
        <v>2.4300000000000002</v>
      </c>
      <c r="G3782" s="519" t="s">
        <v>480</v>
      </c>
      <c r="H3782" s="520" t="s">
        <v>2791</v>
      </c>
      <c r="I3782" s="228">
        <v>336</v>
      </c>
      <c r="J3782" s="226" t="s">
        <v>480</v>
      </c>
      <c r="K3782" s="228">
        <f t="shared" si="341"/>
        <v>816.48</v>
      </c>
      <c r="L3782" s="223"/>
    </row>
    <row r="3783" spans="6:12" ht="24" customHeight="1">
      <c r="F3783" s="225">
        <v>4.8499999999999996</v>
      </c>
      <c r="G3783" s="519" t="s">
        <v>480</v>
      </c>
      <c r="H3783" s="520" t="s">
        <v>2792</v>
      </c>
      <c r="I3783" s="228">
        <v>695</v>
      </c>
      <c r="J3783" s="226" t="s">
        <v>196</v>
      </c>
      <c r="K3783" s="228">
        <f t="shared" si="341"/>
        <v>3370.7499999999995</v>
      </c>
      <c r="L3783" s="223"/>
    </row>
    <row r="3784" spans="6:12" ht="24" customHeight="1">
      <c r="F3784" s="486">
        <v>34.65</v>
      </c>
      <c r="G3784" s="519" t="s">
        <v>1125</v>
      </c>
      <c r="H3784" s="520" t="s">
        <v>2809</v>
      </c>
      <c r="I3784" s="228">
        <v>35.5</v>
      </c>
      <c r="J3784" s="226" t="s">
        <v>1125</v>
      </c>
      <c r="K3784" s="228">
        <f t="shared" si="341"/>
        <v>1230.075</v>
      </c>
      <c r="L3784" s="223"/>
    </row>
    <row r="3785" spans="6:12" ht="24" customHeight="1">
      <c r="F3785" s="470">
        <v>144</v>
      </c>
      <c r="G3785" s="521" t="s">
        <v>1420</v>
      </c>
      <c r="H3785" s="522" t="s">
        <v>2877</v>
      </c>
      <c r="I3785" s="488">
        <v>2.25</v>
      </c>
      <c r="J3785" s="472" t="s">
        <v>1130</v>
      </c>
      <c r="K3785" s="228">
        <f t="shared" si="341"/>
        <v>324</v>
      </c>
      <c r="L3785" s="223"/>
    </row>
    <row r="3786" spans="6:12" ht="24" customHeight="1">
      <c r="F3786" s="470">
        <v>12</v>
      </c>
      <c r="G3786" s="521" t="s">
        <v>1420</v>
      </c>
      <c r="H3786" s="522" t="s">
        <v>2878</v>
      </c>
      <c r="I3786" s="488">
        <v>4.55</v>
      </c>
      <c r="J3786" s="472" t="s">
        <v>1130</v>
      </c>
      <c r="K3786" s="228">
        <f t="shared" si="341"/>
        <v>54.599999999999994</v>
      </c>
      <c r="L3786" s="223"/>
    </row>
    <row r="3787" spans="6:12" ht="24" customHeight="1">
      <c r="F3787" s="470">
        <v>12</v>
      </c>
      <c r="G3787" s="521" t="s">
        <v>1420</v>
      </c>
      <c r="H3787" s="522" t="s">
        <v>2879</v>
      </c>
      <c r="I3787" s="488">
        <v>1</v>
      </c>
      <c r="J3787" s="472" t="s">
        <v>1130</v>
      </c>
      <c r="K3787" s="228">
        <f t="shared" si="341"/>
        <v>12</v>
      </c>
      <c r="L3787" s="223"/>
    </row>
    <row r="3788" spans="6:12" ht="24" customHeight="1">
      <c r="F3788" s="225">
        <v>2</v>
      </c>
      <c r="G3788" s="519" t="s">
        <v>2793</v>
      </c>
      <c r="H3788" s="520" t="s">
        <v>2880</v>
      </c>
      <c r="I3788" s="228">
        <v>11.1</v>
      </c>
      <c r="J3788" s="226" t="s">
        <v>2793</v>
      </c>
      <c r="K3788" s="228">
        <f t="shared" si="341"/>
        <v>22.2</v>
      </c>
      <c r="L3788" s="223"/>
    </row>
    <row r="3789" spans="6:12" ht="24" customHeight="1">
      <c r="F3789" s="225">
        <v>6.6150000000000002</v>
      </c>
      <c r="G3789" s="519" t="s">
        <v>788</v>
      </c>
      <c r="H3789" s="520" t="s">
        <v>1697</v>
      </c>
      <c r="I3789" s="223">
        <f>K3799</f>
        <v>2156</v>
      </c>
      <c r="J3789" s="226" t="s">
        <v>788</v>
      </c>
      <c r="K3789" s="228">
        <f>1059.95*6.615</f>
        <v>7011.5692500000005</v>
      </c>
      <c r="L3789" s="223"/>
    </row>
    <row r="3790" spans="6:12" ht="24" customHeight="1">
      <c r="F3790" s="225"/>
      <c r="G3790" s="519"/>
      <c r="H3790" s="520"/>
      <c r="I3790" s="223"/>
      <c r="J3790" s="230"/>
      <c r="K3790" s="228"/>
      <c r="L3790" s="223"/>
    </row>
    <row r="3791" spans="6:12" ht="24" customHeight="1">
      <c r="F3791" s="225"/>
      <c r="G3791" s="519"/>
      <c r="H3791" s="109" t="s">
        <v>2881</v>
      </c>
      <c r="J3791" s="226"/>
      <c r="K3791" s="228">
        <f>SUM(K3781:K3790)</f>
        <v>23994.49425</v>
      </c>
      <c r="L3791" s="223"/>
    </row>
    <row r="3792" spans="6:12" ht="24" customHeight="1">
      <c r="F3792" s="225"/>
      <c r="G3792" s="519"/>
      <c r="H3792" s="109" t="s">
        <v>403</v>
      </c>
      <c r="J3792" s="484"/>
      <c r="K3792" s="232">
        <f>K3791/6.615</f>
        <v>3627.2856009070292</v>
      </c>
      <c r="L3792" s="234" t="s">
        <v>793</v>
      </c>
    </row>
    <row r="3793" spans="6:12" ht="24" customHeight="1">
      <c r="F3793" s="223"/>
      <c r="G3793" s="523"/>
      <c r="H3793" s="524"/>
      <c r="I3793" s="223"/>
      <c r="J3793" s="223"/>
      <c r="K3793" s="223"/>
      <c r="L3793" s="223"/>
    </row>
    <row r="3794" spans="6:12" ht="24" customHeight="1">
      <c r="F3794" s="228">
        <v>1</v>
      </c>
      <c r="G3794" s="226" t="s">
        <v>105</v>
      </c>
      <c r="H3794" s="229" t="s">
        <v>1702</v>
      </c>
      <c r="I3794" s="228">
        <f>AG17</f>
        <v>950.59999999999991</v>
      </c>
      <c r="J3794" s="229" t="s">
        <v>105</v>
      </c>
      <c r="K3794" s="228">
        <f>I3794*F3794</f>
        <v>950.59999999999991</v>
      </c>
      <c r="L3794" s="223"/>
    </row>
    <row r="3795" spans="6:12" ht="24" customHeight="1">
      <c r="F3795" s="228">
        <v>1</v>
      </c>
      <c r="G3795" s="226" t="s">
        <v>105</v>
      </c>
      <c r="H3795" s="229" t="s">
        <v>1703</v>
      </c>
      <c r="I3795" s="228">
        <f>AG11</f>
        <v>702.8</v>
      </c>
      <c r="J3795" s="229" t="s">
        <v>105</v>
      </c>
      <c r="K3795" s="228">
        <f>I3795*F3795</f>
        <v>702.8</v>
      </c>
      <c r="L3795" s="223"/>
    </row>
    <row r="3796" spans="6:12" ht="24" customHeight="1">
      <c r="F3796" s="228">
        <v>0.5</v>
      </c>
      <c r="G3796" s="226" t="s">
        <v>105</v>
      </c>
      <c r="H3796" s="229" t="s">
        <v>1704</v>
      </c>
      <c r="I3796" s="228">
        <f>AG20</f>
        <v>1005.1999999999999</v>
      </c>
      <c r="J3796" s="229" t="s">
        <v>105</v>
      </c>
      <c r="K3796" s="228">
        <f>I3796*F3796</f>
        <v>502.59999999999997</v>
      </c>
      <c r="L3796" s="223"/>
    </row>
    <row r="3797" spans="6:12" ht="24" customHeight="1">
      <c r="F3797" s="223"/>
      <c r="G3797" s="226" t="s">
        <v>106</v>
      </c>
      <c r="H3797" s="229"/>
      <c r="I3797" s="228"/>
      <c r="J3797" s="229" t="s">
        <v>106</v>
      </c>
      <c r="K3797" s="228"/>
      <c r="L3797" s="223"/>
    </row>
    <row r="3798" spans="6:12" ht="24" customHeight="1">
      <c r="G3798" s="223"/>
      <c r="H3798" s="231"/>
      <c r="I3798" s="223"/>
      <c r="J3798" s="223"/>
      <c r="K3798" s="237" t="s">
        <v>48</v>
      </c>
      <c r="L3798" s="489"/>
    </row>
    <row r="3799" spans="6:12" ht="24" customHeight="1">
      <c r="G3799" s="223"/>
      <c r="H3799" s="231"/>
      <c r="I3799" s="229" t="s">
        <v>1705</v>
      </c>
      <c r="J3799" s="223"/>
      <c r="K3799" s="232">
        <f>SUM(K3794:K3798)</f>
        <v>2156</v>
      </c>
      <c r="L3799" s="489"/>
    </row>
    <row r="3800" spans="6:12" ht="24" customHeight="1">
      <c r="G3800" s="223"/>
      <c r="H3800" s="231"/>
      <c r="I3800" s="223"/>
      <c r="J3800" s="223"/>
      <c r="K3800" s="237" t="s">
        <v>48</v>
      </c>
      <c r="L3800" s="489"/>
    </row>
    <row r="3801" spans="6:12" ht="24" customHeight="1">
      <c r="G3801" s="28"/>
      <c r="J3801" s="28"/>
      <c r="K3801" s="32"/>
    </row>
    <row r="3802" spans="6:12" ht="24" customHeight="1">
      <c r="F3802" s="77"/>
      <c r="G3802" s="38" t="s">
        <v>67</v>
      </c>
      <c r="H3802" s="26" t="s">
        <v>1532</v>
      </c>
    </row>
    <row r="3803" spans="6:12" ht="24" customHeight="1">
      <c r="H3803" s="26"/>
    </row>
    <row r="3804" spans="6:12" ht="24" customHeight="1">
      <c r="H3804" s="35" t="s">
        <v>48</v>
      </c>
    </row>
    <row r="3805" spans="6:12" ht="24" customHeight="1">
      <c r="F3805" s="40">
        <v>1.86</v>
      </c>
      <c r="G3805" s="38" t="s">
        <v>438</v>
      </c>
      <c r="H3805" s="26" t="s">
        <v>1533</v>
      </c>
      <c r="I3805" s="48">
        <v>699.4</v>
      </c>
      <c r="J3805" s="26" t="s">
        <v>438</v>
      </c>
      <c r="K3805" s="40">
        <f>(F3805*I3805)</f>
        <v>1300.884</v>
      </c>
    </row>
    <row r="3806" spans="6:12" ht="24" customHeight="1">
      <c r="F3806" s="40">
        <v>0.4</v>
      </c>
      <c r="G3806" s="38" t="s">
        <v>392</v>
      </c>
      <c r="H3806" s="26" t="s">
        <v>1496</v>
      </c>
      <c r="I3806" s="208">
        <f>I3462</f>
        <v>36.1</v>
      </c>
      <c r="J3806" s="26" t="s">
        <v>392</v>
      </c>
      <c r="K3806" s="40">
        <f>(F3806*I3806)</f>
        <v>14.440000000000001</v>
      </c>
    </row>
    <row r="3807" spans="6:12" ht="24" customHeight="1">
      <c r="F3807" s="40">
        <v>0.02</v>
      </c>
      <c r="G3807" s="38" t="s">
        <v>93</v>
      </c>
      <c r="H3807" s="26" t="s">
        <v>1524</v>
      </c>
      <c r="I3807" s="40">
        <f>K23</f>
        <v>7063.64</v>
      </c>
      <c r="J3807" s="26" t="s">
        <v>93</v>
      </c>
      <c r="K3807" s="40">
        <f>(F3807*I3807)</f>
        <v>141.27280000000002</v>
      </c>
    </row>
    <row r="3808" spans="6:12" ht="24" customHeight="1">
      <c r="F3808" s="40">
        <v>1</v>
      </c>
      <c r="G3808" s="38" t="s">
        <v>196</v>
      </c>
      <c r="H3808" s="26" t="s">
        <v>298</v>
      </c>
      <c r="I3808" s="40">
        <f>I3748</f>
        <v>1076.5999999999999</v>
      </c>
      <c r="J3808" s="26" t="s">
        <v>196</v>
      </c>
      <c r="K3808" s="40">
        <f>(F3808*I3808)</f>
        <v>1076.5999999999999</v>
      </c>
    </row>
    <row r="3809" spans="6:11" ht="24" customHeight="1">
      <c r="F3809" s="40">
        <v>1</v>
      </c>
      <c r="G3809" s="38" t="s">
        <v>196</v>
      </c>
      <c r="H3809" s="26" t="s">
        <v>1526</v>
      </c>
      <c r="I3809" s="40">
        <f>I3795</f>
        <v>702.8</v>
      </c>
      <c r="J3809" s="26" t="s">
        <v>196</v>
      </c>
      <c r="K3809" s="40">
        <f>(F3809*I3809)</f>
        <v>702.8</v>
      </c>
    </row>
    <row r="3810" spans="6:11" ht="24" customHeight="1">
      <c r="G3810" s="38" t="s">
        <v>106</v>
      </c>
      <c r="H3810" s="26" t="s">
        <v>107</v>
      </c>
      <c r="J3810" s="26" t="s">
        <v>106</v>
      </c>
      <c r="K3810" s="40"/>
    </row>
    <row r="3811" spans="6:11" ht="24" customHeight="1">
      <c r="K3811" s="35" t="s">
        <v>48</v>
      </c>
    </row>
    <row r="3812" spans="6:11" ht="24" customHeight="1">
      <c r="H3812" s="26" t="s">
        <v>1529</v>
      </c>
      <c r="K3812" s="40">
        <f>SUM(K3805:K3810)</f>
        <v>3235.9967999999999</v>
      </c>
    </row>
    <row r="3813" spans="6:11" ht="24" customHeight="1">
      <c r="K3813" s="35" t="s">
        <v>48</v>
      </c>
    </row>
    <row r="3814" spans="6:11" ht="24" customHeight="1">
      <c r="H3814" s="42" t="s">
        <v>403</v>
      </c>
      <c r="K3814" s="39">
        <f>(K3812/1.86)</f>
        <v>1739.7832258064514</v>
      </c>
    </row>
    <row r="3815" spans="6:11" ht="24" customHeight="1">
      <c r="K3815" s="35" t="s">
        <v>41</v>
      </c>
    </row>
    <row r="3817" spans="6:11" ht="24" customHeight="1">
      <c r="F3817" s="77"/>
      <c r="G3817" s="38" t="s">
        <v>67</v>
      </c>
      <c r="H3817" s="26" t="s">
        <v>1530</v>
      </c>
    </row>
    <row r="3818" spans="6:11" ht="24" customHeight="1">
      <c r="H3818" s="26"/>
    </row>
    <row r="3819" spans="6:11" ht="24" customHeight="1">
      <c r="H3819" s="26"/>
    </row>
    <row r="3820" spans="6:11" ht="24" customHeight="1">
      <c r="H3820" s="35" t="s">
        <v>48</v>
      </c>
      <c r="I3820" s="35" t="s">
        <v>48</v>
      </c>
    </row>
    <row r="3821" spans="6:11" ht="36" customHeight="1">
      <c r="F3821" s="40">
        <v>10</v>
      </c>
      <c r="G3821" s="38" t="s">
        <v>438</v>
      </c>
      <c r="H3821" s="92" t="s">
        <v>1531</v>
      </c>
      <c r="I3821" s="48">
        <v>538.21</v>
      </c>
      <c r="J3821" s="26" t="s">
        <v>438</v>
      </c>
      <c r="K3821" s="40">
        <f>(F3821*I3821)</f>
        <v>5382.1</v>
      </c>
    </row>
    <row r="3822" spans="6:11" ht="32.25" customHeight="1">
      <c r="F3822" s="40">
        <v>0.21</v>
      </c>
      <c r="G3822" s="38" t="s">
        <v>93</v>
      </c>
      <c r="H3822" s="26" t="s">
        <v>1488</v>
      </c>
      <c r="I3822" s="48">
        <f>I3455</f>
        <v>5671.64</v>
      </c>
      <c r="J3822" s="26" t="s">
        <v>93</v>
      </c>
      <c r="K3822" s="40">
        <f>(F3822*I3822)</f>
        <v>1191.0444</v>
      </c>
    </row>
    <row r="3823" spans="6:11" ht="24" customHeight="1">
      <c r="H3823" s="26" t="s">
        <v>1492</v>
      </c>
      <c r="I3823" s="48"/>
      <c r="K3823" s="26" t="s">
        <v>27</v>
      </c>
    </row>
    <row r="3824" spans="6:11" ht="24" customHeight="1">
      <c r="F3824" s="40">
        <v>1.1000000000000001</v>
      </c>
      <c r="G3824" s="38" t="s">
        <v>196</v>
      </c>
      <c r="H3824" s="26" t="s">
        <v>298</v>
      </c>
      <c r="I3824" s="48">
        <f>I3457</f>
        <v>1076.5999999999999</v>
      </c>
      <c r="J3824" s="26" t="s">
        <v>196</v>
      </c>
      <c r="K3824" s="40">
        <f>(F3824*I3824)</f>
        <v>1184.26</v>
      </c>
    </row>
    <row r="3825" spans="5:11" ht="24" customHeight="1">
      <c r="F3825" s="40">
        <v>1.1000000000000001</v>
      </c>
      <c r="G3825" s="38" t="s">
        <v>196</v>
      </c>
      <c r="H3825" s="26" t="s">
        <v>269</v>
      </c>
      <c r="I3825" s="48">
        <f t="shared" ref="I3825:I3832" si="342">I3458</f>
        <v>1005.1999999999999</v>
      </c>
      <c r="J3825" s="26" t="s">
        <v>196</v>
      </c>
      <c r="K3825" s="40">
        <f>(F3825*I3825)</f>
        <v>1105.72</v>
      </c>
    </row>
    <row r="3826" spans="5:11" ht="24" customHeight="1">
      <c r="F3826" s="40">
        <v>2.2000000000000002</v>
      </c>
      <c r="G3826" s="38" t="s">
        <v>196</v>
      </c>
      <c r="H3826" s="26" t="s">
        <v>271</v>
      </c>
      <c r="I3826" s="48">
        <f t="shared" si="342"/>
        <v>702.8</v>
      </c>
      <c r="J3826" s="26" t="s">
        <v>196</v>
      </c>
      <c r="K3826" s="40">
        <f>(F3826*I3826)</f>
        <v>1546.16</v>
      </c>
    </row>
    <row r="3827" spans="5:11" ht="24" customHeight="1">
      <c r="F3827" s="40">
        <v>2.2000000000000002</v>
      </c>
      <c r="G3827" s="38" t="s">
        <v>196</v>
      </c>
      <c r="H3827" s="26" t="s">
        <v>276</v>
      </c>
      <c r="I3827" s="48">
        <f t="shared" si="342"/>
        <v>576.79999999999995</v>
      </c>
      <c r="J3827" s="26" t="s">
        <v>196</v>
      </c>
      <c r="K3827" s="40">
        <f>(F3827*I3827)</f>
        <v>1268.96</v>
      </c>
    </row>
    <row r="3828" spans="5:11" ht="24" customHeight="1">
      <c r="F3828" s="76">
        <v>20</v>
      </c>
      <c r="G3828" s="38" t="s">
        <v>392</v>
      </c>
      <c r="H3828" s="26" t="s">
        <v>85</v>
      </c>
      <c r="I3828" s="48">
        <f t="shared" si="342"/>
        <v>5800</v>
      </c>
      <c r="J3828" s="26" t="s">
        <v>84</v>
      </c>
      <c r="K3828" s="40">
        <f>(F3828*I3828)/1000</f>
        <v>116</v>
      </c>
    </row>
    <row r="3829" spans="5:11" ht="24" customHeight="1">
      <c r="F3829" s="76">
        <v>2</v>
      </c>
      <c r="G3829" s="38" t="s">
        <v>392</v>
      </c>
      <c r="H3829" s="26" t="s">
        <v>1496</v>
      </c>
      <c r="I3829" s="48">
        <f t="shared" si="342"/>
        <v>36.1</v>
      </c>
      <c r="J3829" s="26" t="s">
        <v>392</v>
      </c>
      <c r="K3829" s="40">
        <f>(F3829*I3829)</f>
        <v>72.2</v>
      </c>
    </row>
    <row r="3830" spans="5:11" ht="24" customHeight="1">
      <c r="F3830" s="40">
        <v>1.6</v>
      </c>
      <c r="G3830" s="38" t="s">
        <v>196</v>
      </c>
      <c r="H3830" s="26" t="s">
        <v>269</v>
      </c>
      <c r="I3830" s="48">
        <f t="shared" si="342"/>
        <v>1005.1999999999999</v>
      </c>
      <c r="J3830" s="26" t="s">
        <v>196</v>
      </c>
      <c r="K3830" s="40">
        <f>(F3830*I3830)</f>
        <v>1608.32</v>
      </c>
    </row>
    <row r="3831" spans="5:11" ht="24" customHeight="1">
      <c r="F3831" s="40">
        <v>0.5</v>
      </c>
      <c r="G3831" s="38" t="s">
        <v>196</v>
      </c>
      <c r="H3831" s="26" t="s">
        <v>271</v>
      </c>
      <c r="I3831" s="48">
        <f t="shared" si="342"/>
        <v>702.8</v>
      </c>
      <c r="J3831" s="26" t="s">
        <v>196</v>
      </c>
      <c r="K3831" s="40">
        <f>(F3831*I3831)</f>
        <v>351.4</v>
      </c>
    </row>
    <row r="3832" spans="5:11" ht="24" customHeight="1">
      <c r="F3832" s="40">
        <v>1.1000000000000001</v>
      </c>
      <c r="G3832" s="38" t="s">
        <v>196</v>
      </c>
      <c r="H3832" s="26" t="s">
        <v>276</v>
      </c>
      <c r="I3832" s="48">
        <f t="shared" si="342"/>
        <v>576.79999999999995</v>
      </c>
      <c r="J3832" s="26" t="s">
        <v>196</v>
      </c>
      <c r="K3832" s="40">
        <f>(F3832*I3832)</f>
        <v>634.48</v>
      </c>
    </row>
    <row r="3833" spans="5:11" ht="24" customHeight="1">
      <c r="G3833" s="38" t="s">
        <v>106</v>
      </c>
      <c r="H3833" s="26" t="s">
        <v>107</v>
      </c>
      <c r="J3833" s="26" t="s">
        <v>106</v>
      </c>
      <c r="K3833" s="40">
        <v>0</v>
      </c>
    </row>
    <row r="3834" spans="5:11" ht="24" customHeight="1">
      <c r="K3834" s="35" t="s">
        <v>48</v>
      </c>
    </row>
    <row r="3835" spans="5:11" ht="24" customHeight="1">
      <c r="H3835" s="26" t="s">
        <v>401</v>
      </c>
      <c r="K3835" s="40">
        <f>SUM(K3821:K3833)</f>
        <v>14460.644399999999</v>
      </c>
    </row>
    <row r="3836" spans="5:11" ht="24" customHeight="1">
      <c r="K3836" s="35" t="s">
        <v>48</v>
      </c>
    </row>
    <row r="3837" spans="5:11" ht="24" customHeight="1">
      <c r="F3837" s="32"/>
      <c r="G3837" s="28"/>
      <c r="H3837" s="42" t="s">
        <v>403</v>
      </c>
      <c r="K3837" s="39">
        <f>(K3835/10)</f>
        <v>1446.0644399999999</v>
      </c>
    </row>
    <row r="3838" spans="5:11" ht="24" customHeight="1">
      <c r="F3838" s="32"/>
      <c r="G3838" s="28"/>
      <c r="K3838" s="35" t="s">
        <v>41</v>
      </c>
    </row>
    <row r="3840" spans="5:11" ht="24" customHeight="1">
      <c r="E3840" s="139"/>
      <c r="F3840" s="171"/>
      <c r="G3840" s="41" t="s">
        <v>2882</v>
      </c>
      <c r="H3840" s="139"/>
      <c r="I3840" s="172">
        <f>1.2*0.8</f>
        <v>0.96</v>
      </c>
      <c r="J3840" s="139"/>
      <c r="K3840" s="32"/>
    </row>
    <row r="3841" spans="5:11" ht="24" customHeight="1">
      <c r="E3841" s="139"/>
      <c r="F3841" s="171"/>
      <c r="G3841" s="139"/>
      <c r="H3841" s="139"/>
      <c r="I3841" s="172"/>
      <c r="J3841" s="139"/>
      <c r="K3841" s="32"/>
    </row>
    <row r="3842" spans="5:11" ht="24" customHeight="1">
      <c r="E3842" s="31" t="s">
        <v>2883</v>
      </c>
      <c r="F3842" s="172"/>
      <c r="G3842" s="172"/>
      <c r="H3842" s="174">
        <f>4*3.9</f>
        <v>15.6</v>
      </c>
      <c r="I3842" s="172" t="s">
        <v>1840</v>
      </c>
      <c r="J3842" s="172"/>
      <c r="K3842" s="32"/>
    </row>
    <row r="3843" spans="5:11" ht="24" customHeight="1">
      <c r="E3843" s="28" t="s">
        <v>2884</v>
      </c>
      <c r="F3843" s="171"/>
      <c r="G3843" s="139"/>
      <c r="H3843" s="139">
        <f>11*0.8*3.14</f>
        <v>27.632000000000005</v>
      </c>
      <c r="I3843" s="172" t="s">
        <v>1840</v>
      </c>
      <c r="J3843" s="172"/>
      <c r="K3843" s="32"/>
    </row>
    <row r="3844" spans="5:11" ht="24" customHeight="1">
      <c r="E3844" s="28" t="s">
        <v>2885</v>
      </c>
      <c r="F3844" s="171"/>
      <c r="G3844" s="139"/>
      <c r="H3844" s="139">
        <f>2*1.2*1.2</f>
        <v>2.88</v>
      </c>
      <c r="I3844" s="172" t="s">
        <v>1840</v>
      </c>
      <c r="J3844" s="172"/>
      <c r="K3844" s="32"/>
    </row>
    <row r="3845" spans="5:11" ht="24" customHeight="1">
      <c r="E3845" s="28" t="s">
        <v>2886</v>
      </c>
      <c r="F3845" s="171"/>
      <c r="G3845" s="139"/>
      <c r="H3845" s="139">
        <f>3*0.8*1.2</f>
        <v>2.8800000000000003</v>
      </c>
      <c r="I3845" s="172" t="s">
        <v>1840</v>
      </c>
      <c r="J3845" s="172"/>
      <c r="K3845" s="32"/>
    </row>
    <row r="3846" spans="5:11" ht="24" customHeight="1">
      <c r="E3846" s="28" t="s">
        <v>2887</v>
      </c>
      <c r="F3846" s="171"/>
      <c r="G3846" s="139"/>
      <c r="H3846" s="139">
        <v>5</v>
      </c>
      <c r="I3846" s="172"/>
      <c r="J3846" s="172"/>
      <c r="K3846" s="32"/>
    </row>
    <row r="3847" spans="5:11" ht="24" customHeight="1">
      <c r="E3847" s="139"/>
      <c r="F3847" s="171"/>
      <c r="G3847" s="139"/>
      <c r="H3847" s="175" t="s">
        <v>2232</v>
      </c>
      <c r="I3847" s="172"/>
      <c r="J3847" s="172"/>
      <c r="K3847" s="32"/>
    </row>
    <row r="3848" spans="5:11" ht="24" customHeight="1">
      <c r="E3848" s="139"/>
      <c r="F3848" s="171"/>
      <c r="G3848" s="139"/>
      <c r="H3848" s="170">
        <f>SUM(H3842:H3846)</f>
        <v>53.992000000000012</v>
      </c>
      <c r="I3848" s="172" t="s">
        <v>1840</v>
      </c>
      <c r="J3848" s="172">
        <f>H3848-51.7</f>
        <v>2.2920000000000087</v>
      </c>
      <c r="K3848" s="32"/>
    </row>
    <row r="3849" spans="5:11" ht="24" customHeight="1">
      <c r="E3849" s="139"/>
      <c r="F3849" s="171"/>
      <c r="G3849" s="139"/>
      <c r="H3849" s="175" t="s">
        <v>2232</v>
      </c>
      <c r="I3849" s="172"/>
      <c r="J3849" s="139"/>
      <c r="K3849" s="32"/>
    </row>
    <row r="3850" spans="5:11" ht="24" customHeight="1">
      <c r="E3850" s="139"/>
      <c r="F3850" s="171"/>
      <c r="G3850" s="139"/>
      <c r="H3850" s="139"/>
      <c r="I3850" s="172"/>
      <c r="J3850" s="139"/>
      <c r="K3850" s="32"/>
    </row>
    <row r="3851" spans="5:11" ht="24" customHeight="1">
      <c r="E3851" s="139"/>
      <c r="F3851" s="171"/>
      <c r="G3851" s="139"/>
      <c r="H3851" s="139"/>
      <c r="I3851" s="172"/>
      <c r="J3851" s="139"/>
      <c r="K3851" s="32"/>
    </row>
    <row r="3852" spans="5:11" ht="24" customHeight="1">
      <c r="E3852" s="174">
        <f>H3848</f>
        <v>53.992000000000012</v>
      </c>
      <c r="F3852" s="171" t="s">
        <v>392</v>
      </c>
      <c r="G3852" s="139" t="s">
        <v>28</v>
      </c>
      <c r="H3852" s="139">
        <f>I2607</f>
        <v>54.5</v>
      </c>
      <c r="I3852" s="172" t="s">
        <v>392</v>
      </c>
      <c r="J3852" s="139">
        <f>H3852*E3852</f>
        <v>2942.5640000000008</v>
      </c>
      <c r="K3852" s="32"/>
    </row>
    <row r="3853" spans="5:11" ht="24" customHeight="1">
      <c r="E3853" s="174">
        <v>0.96</v>
      </c>
      <c r="F3853" s="171" t="s">
        <v>788</v>
      </c>
      <c r="G3853" s="139" t="s">
        <v>2223</v>
      </c>
      <c r="H3853" s="139">
        <f>I2608</f>
        <v>295</v>
      </c>
      <c r="I3853" s="172" t="s">
        <v>788</v>
      </c>
      <c r="J3853" s="139">
        <f>H3853*E3853</f>
        <v>283.2</v>
      </c>
      <c r="K3853" s="32"/>
    </row>
    <row r="3854" spans="5:11" ht="24" customHeight="1">
      <c r="E3854" s="174">
        <v>0.96</v>
      </c>
      <c r="F3854" s="171" t="s">
        <v>788</v>
      </c>
      <c r="G3854" s="139" t="s">
        <v>2242</v>
      </c>
      <c r="H3854" s="139">
        <f>I2609</f>
        <v>31.65</v>
      </c>
      <c r="I3854" s="172" t="s">
        <v>788</v>
      </c>
      <c r="J3854" s="139">
        <f>H3854*E3854</f>
        <v>30.383999999999997</v>
      </c>
      <c r="K3854" s="32"/>
    </row>
    <row r="3855" spans="5:11" ht="24" customHeight="1">
      <c r="E3855" s="139"/>
      <c r="F3855" s="171"/>
      <c r="G3855" s="139" t="s">
        <v>2243</v>
      </c>
      <c r="H3855" s="139">
        <f>I2610</f>
        <v>266.81</v>
      </c>
      <c r="I3855" s="172" t="s">
        <v>106</v>
      </c>
      <c r="J3855" s="139">
        <f>H3855</f>
        <v>266.81</v>
      </c>
      <c r="K3855" s="32"/>
    </row>
    <row r="3856" spans="5:11" ht="24" customHeight="1">
      <c r="E3856" s="139"/>
      <c r="F3856" s="171"/>
      <c r="G3856" s="139"/>
      <c r="H3856" s="139"/>
      <c r="I3856" s="172"/>
      <c r="J3856" s="175" t="s">
        <v>1430</v>
      </c>
      <c r="K3856" s="32"/>
    </row>
    <row r="3857" spans="5:11" ht="24" customHeight="1">
      <c r="E3857" s="139"/>
      <c r="F3857" s="171"/>
      <c r="G3857" s="41" t="s">
        <v>2226</v>
      </c>
      <c r="H3857" s="139"/>
      <c r="I3857" s="172"/>
      <c r="J3857" s="41">
        <f>SUM(J3852:J3856)</f>
        <v>3522.9580000000005</v>
      </c>
      <c r="K3857" s="32"/>
    </row>
    <row r="3858" spans="5:11" ht="24" customHeight="1">
      <c r="E3858" s="139"/>
      <c r="F3858" s="171"/>
      <c r="G3858" s="139"/>
      <c r="H3858" s="139"/>
      <c r="I3858" s="172"/>
      <c r="J3858" s="175" t="s">
        <v>1430</v>
      </c>
      <c r="K3858" s="32"/>
    </row>
    <row r="3859" spans="5:11" ht="24" customHeight="1">
      <c r="E3859" s="139"/>
      <c r="F3859" s="171"/>
      <c r="G3859" s="218" t="s">
        <v>2233</v>
      </c>
      <c r="H3859" s="139"/>
      <c r="I3859" s="172"/>
      <c r="J3859" s="41">
        <f>J3857/E3853</f>
        <v>3669.7479166666672</v>
      </c>
      <c r="K3859" s="32"/>
    </row>
    <row r="3860" spans="5:11" ht="24" customHeight="1">
      <c r="G3860" s="28"/>
      <c r="J3860" s="28"/>
      <c r="K3860" s="32"/>
    </row>
    <row r="3861" spans="5:11" ht="24" customHeight="1">
      <c r="E3861" s="139"/>
      <c r="F3861" s="171"/>
      <c r="G3861" s="41" t="s">
        <v>2888</v>
      </c>
      <c r="H3861" s="139"/>
      <c r="I3861" s="172">
        <f>1*0.8</f>
        <v>0.8</v>
      </c>
      <c r="J3861" s="139"/>
      <c r="K3861" s="32"/>
    </row>
    <row r="3862" spans="5:11" ht="24" customHeight="1">
      <c r="E3862" s="139"/>
      <c r="F3862" s="171"/>
      <c r="G3862" s="139"/>
      <c r="H3862" s="139"/>
      <c r="I3862" s="172"/>
      <c r="J3862" s="139"/>
      <c r="K3862" s="32"/>
    </row>
    <row r="3863" spans="5:11" ht="24" customHeight="1">
      <c r="E3863" s="31" t="s">
        <v>2889</v>
      </c>
      <c r="F3863" s="172"/>
      <c r="G3863" s="172"/>
      <c r="H3863" s="174">
        <f>3.6*3.9</f>
        <v>14.04</v>
      </c>
      <c r="I3863" s="172" t="s">
        <v>1840</v>
      </c>
      <c r="J3863" s="172"/>
      <c r="K3863" s="32"/>
    </row>
    <row r="3864" spans="5:11" ht="24" customHeight="1">
      <c r="E3864" s="28" t="s">
        <v>2890</v>
      </c>
      <c r="F3864" s="171"/>
      <c r="G3864" s="139"/>
      <c r="H3864" s="139">
        <f>9*0.8*3.14</f>
        <v>22.608000000000001</v>
      </c>
      <c r="I3864" s="172" t="s">
        <v>1840</v>
      </c>
      <c r="J3864" s="172"/>
      <c r="K3864" s="32"/>
    </row>
    <row r="3865" spans="5:11" ht="24" customHeight="1">
      <c r="E3865" s="28" t="s">
        <v>2891</v>
      </c>
      <c r="F3865" s="171"/>
      <c r="G3865" s="139"/>
      <c r="H3865" s="139">
        <f>2*1*1.2</f>
        <v>2.4</v>
      </c>
      <c r="I3865" s="172" t="s">
        <v>1840</v>
      </c>
      <c r="J3865" s="172"/>
      <c r="K3865" s="32"/>
    </row>
    <row r="3866" spans="5:11" ht="24" customHeight="1">
      <c r="E3866" s="28" t="s">
        <v>2886</v>
      </c>
      <c r="F3866" s="171"/>
      <c r="G3866" s="139"/>
      <c r="H3866" s="139">
        <f>3*0.8*1.2</f>
        <v>2.8800000000000003</v>
      </c>
      <c r="I3866" s="172" t="s">
        <v>1840</v>
      </c>
      <c r="J3866" s="172"/>
      <c r="K3866" s="32"/>
    </row>
    <row r="3867" spans="5:11" ht="24" customHeight="1">
      <c r="E3867" s="28" t="s">
        <v>2887</v>
      </c>
      <c r="F3867" s="171"/>
      <c r="G3867" s="139"/>
      <c r="H3867" s="139">
        <v>5</v>
      </c>
      <c r="I3867" s="172"/>
      <c r="J3867" s="172"/>
      <c r="K3867" s="32"/>
    </row>
    <row r="3868" spans="5:11" ht="24" customHeight="1">
      <c r="E3868" s="139"/>
      <c r="F3868" s="171"/>
      <c r="G3868" s="139"/>
      <c r="H3868" s="175" t="s">
        <v>2232</v>
      </c>
      <c r="I3868" s="172"/>
      <c r="J3868" s="172"/>
      <c r="K3868" s="32"/>
    </row>
    <row r="3869" spans="5:11" ht="24" customHeight="1">
      <c r="E3869" s="139"/>
      <c r="F3869" s="171"/>
      <c r="G3869" s="139"/>
      <c r="H3869" s="170">
        <f>SUM(H3863:H3867)</f>
        <v>46.927999999999997</v>
      </c>
      <c r="I3869" s="172" t="s">
        <v>1840</v>
      </c>
      <c r="J3869" s="172"/>
      <c r="K3869" s="32"/>
    </row>
    <row r="3870" spans="5:11" ht="24" customHeight="1">
      <c r="E3870" s="139"/>
      <c r="F3870" s="171"/>
      <c r="G3870" s="139"/>
      <c r="H3870" s="175" t="s">
        <v>2232</v>
      </c>
      <c r="I3870" s="172"/>
      <c r="J3870" s="139"/>
      <c r="K3870" s="32"/>
    </row>
    <row r="3871" spans="5:11" ht="24" customHeight="1">
      <c r="E3871" s="139"/>
      <c r="F3871" s="171"/>
      <c r="G3871" s="139"/>
      <c r="H3871" s="139"/>
      <c r="I3871" s="172"/>
      <c r="J3871" s="139"/>
      <c r="K3871" s="32"/>
    </row>
    <row r="3872" spans="5:11" ht="24" customHeight="1">
      <c r="E3872" s="139"/>
      <c r="F3872" s="171"/>
      <c r="G3872" s="139"/>
      <c r="H3872" s="139"/>
      <c r="I3872" s="172"/>
      <c r="J3872" s="139"/>
      <c r="K3872" s="32"/>
    </row>
    <row r="3873" spans="5:11" ht="24" customHeight="1">
      <c r="E3873" s="174">
        <f>H3869</f>
        <v>46.927999999999997</v>
      </c>
      <c r="F3873" s="171" t="s">
        <v>392</v>
      </c>
      <c r="G3873" s="139" t="s">
        <v>28</v>
      </c>
      <c r="H3873" s="139">
        <f>H3852</f>
        <v>54.5</v>
      </c>
      <c r="I3873" s="172" t="s">
        <v>392</v>
      </c>
      <c r="J3873" s="139">
        <f>H3873*E3873</f>
        <v>2557.576</v>
      </c>
      <c r="K3873" s="32"/>
    </row>
    <row r="3874" spans="5:11" ht="24" customHeight="1">
      <c r="E3874" s="139">
        <v>0.8</v>
      </c>
      <c r="F3874" s="171" t="s">
        <v>788</v>
      </c>
      <c r="G3874" s="139" t="s">
        <v>2223</v>
      </c>
      <c r="H3874" s="139">
        <f>H3853</f>
        <v>295</v>
      </c>
      <c r="I3874" s="172" t="s">
        <v>788</v>
      </c>
      <c r="J3874" s="139">
        <f>H3874*E3874</f>
        <v>236</v>
      </c>
      <c r="K3874" s="32"/>
    </row>
    <row r="3875" spans="5:11" ht="24" customHeight="1">
      <c r="E3875" s="139">
        <v>0.8</v>
      </c>
      <c r="F3875" s="171" t="s">
        <v>788</v>
      </c>
      <c r="G3875" s="139" t="s">
        <v>2242</v>
      </c>
      <c r="H3875" s="139">
        <f>H3854</f>
        <v>31.65</v>
      </c>
      <c r="I3875" s="172" t="s">
        <v>788</v>
      </c>
      <c r="J3875" s="139">
        <f>H3875*E3875</f>
        <v>25.32</v>
      </c>
      <c r="K3875" s="32"/>
    </row>
    <row r="3876" spans="5:11" ht="24" customHeight="1">
      <c r="E3876" s="139"/>
      <c r="F3876" s="171"/>
      <c r="G3876" s="139" t="s">
        <v>2243</v>
      </c>
      <c r="H3876" s="139">
        <f>H3855</f>
        <v>266.81</v>
      </c>
      <c r="I3876" s="172" t="s">
        <v>106</v>
      </c>
      <c r="J3876" s="139">
        <v>47.1</v>
      </c>
      <c r="K3876" s="32"/>
    </row>
    <row r="3877" spans="5:11" ht="24" customHeight="1">
      <c r="E3877" s="139"/>
      <c r="F3877" s="171"/>
      <c r="G3877" s="139"/>
      <c r="H3877" s="139"/>
      <c r="I3877" s="172"/>
      <c r="J3877" s="175" t="s">
        <v>1430</v>
      </c>
      <c r="K3877" s="32"/>
    </row>
    <row r="3878" spans="5:11" ht="24" customHeight="1">
      <c r="E3878" s="139"/>
      <c r="F3878" s="171"/>
      <c r="G3878" s="41" t="s">
        <v>2226</v>
      </c>
      <c r="H3878" s="139"/>
      <c r="I3878" s="172"/>
      <c r="J3878" s="41">
        <f>SUM(J3873:J3877)</f>
        <v>2865.9960000000001</v>
      </c>
      <c r="K3878" s="32"/>
    </row>
    <row r="3879" spans="5:11" ht="24" customHeight="1">
      <c r="E3879" s="139"/>
      <c r="F3879" s="171"/>
      <c r="G3879" s="139"/>
      <c r="H3879" s="139"/>
      <c r="I3879" s="172"/>
      <c r="J3879" s="175" t="s">
        <v>1430</v>
      </c>
      <c r="K3879" s="32"/>
    </row>
    <row r="3880" spans="5:11" ht="24" customHeight="1">
      <c r="E3880" s="139"/>
      <c r="F3880" s="171"/>
      <c r="G3880" s="218" t="s">
        <v>2233</v>
      </c>
      <c r="H3880" s="139"/>
      <c r="I3880" s="172"/>
      <c r="J3880" s="41">
        <f>J3878/E3874</f>
        <v>3582.4949999999999</v>
      </c>
      <c r="K3880" s="32"/>
    </row>
    <row r="3881" spans="5:11" ht="24" customHeight="1">
      <c r="E3881" s="139" t="s">
        <v>2220</v>
      </c>
      <c r="F3881" s="171"/>
      <c r="G3881" s="139"/>
      <c r="H3881" s="139">
        <v>3.24</v>
      </c>
      <c r="I3881" s="172" t="s">
        <v>1840</v>
      </c>
      <c r="J3881" s="139"/>
      <c r="K3881" s="32"/>
    </row>
    <row r="3882" spans="5:11" ht="24" customHeight="1">
      <c r="E3882" s="139" t="s">
        <v>2221</v>
      </c>
      <c r="F3882" s="171"/>
      <c r="G3882" s="139"/>
      <c r="H3882" s="139">
        <v>2.16</v>
      </c>
      <c r="I3882" s="172" t="s">
        <v>1840</v>
      </c>
      <c r="J3882" s="139"/>
      <c r="K3882" s="32"/>
    </row>
    <row r="3883" spans="5:11" ht="24" customHeight="1">
      <c r="E3883" s="139"/>
      <c r="F3883" s="171"/>
      <c r="G3883" s="139"/>
      <c r="H3883" s="139"/>
      <c r="I3883" s="172"/>
      <c r="J3883" s="139"/>
      <c r="K3883" s="32"/>
    </row>
    <row r="3884" spans="5:11" ht="24" customHeight="1">
      <c r="E3884" s="139"/>
      <c r="F3884" s="171"/>
      <c r="G3884" s="139"/>
      <c r="H3884" s="175" t="s">
        <v>1430</v>
      </c>
      <c r="I3884" s="172"/>
      <c r="J3884" s="139"/>
      <c r="K3884" s="32"/>
    </row>
    <row r="3885" spans="5:11" ht="24" customHeight="1">
      <c r="E3885" s="139"/>
      <c r="F3885" s="171"/>
      <c r="G3885" s="139"/>
      <c r="H3885" s="139">
        <f>SUM(H3879:H3883)</f>
        <v>5.4</v>
      </c>
      <c r="I3885" s="172"/>
      <c r="J3885" s="139"/>
      <c r="K3885" s="32"/>
    </row>
    <row r="3886" spans="5:11" ht="24" customHeight="1">
      <c r="E3886" s="139"/>
      <c r="F3886" s="171"/>
      <c r="G3886" s="139"/>
      <c r="H3886" s="139" t="s">
        <v>2222</v>
      </c>
      <c r="I3886" s="172"/>
      <c r="J3886" s="139"/>
      <c r="K3886" s="32"/>
    </row>
    <row r="3887" spans="5:11" ht="24" customHeight="1">
      <c r="E3887" s="139"/>
      <c r="F3887" s="171"/>
      <c r="G3887" s="139"/>
      <c r="H3887" s="139"/>
      <c r="I3887" s="172"/>
      <c r="J3887" s="139"/>
      <c r="K3887" s="32"/>
    </row>
    <row r="3888" spans="5:11" ht="24" customHeight="1">
      <c r="E3888" s="139"/>
      <c r="F3888" s="171"/>
      <c r="G3888" s="139"/>
      <c r="H3888" s="139"/>
      <c r="I3888" s="172"/>
      <c r="J3888" s="139"/>
      <c r="K3888" s="32"/>
    </row>
    <row r="3889" spans="5:11" ht="24" customHeight="1">
      <c r="E3889" s="139">
        <v>42.81</v>
      </c>
      <c r="F3889" s="171" t="s">
        <v>392</v>
      </c>
      <c r="G3889" s="139" t="s">
        <v>28</v>
      </c>
      <c r="H3889" s="139">
        <f>C3888</f>
        <v>0</v>
      </c>
      <c r="I3889" s="172" t="s">
        <v>392</v>
      </c>
      <c r="J3889" s="139">
        <f>H3889*E3889</f>
        <v>0</v>
      </c>
      <c r="K3889" s="32"/>
    </row>
    <row r="3890" spans="5:11" ht="24" customHeight="1">
      <c r="E3890" s="139">
        <v>0.77</v>
      </c>
      <c r="F3890" s="171" t="s">
        <v>788</v>
      </c>
      <c r="G3890" s="139" t="s">
        <v>2272</v>
      </c>
      <c r="H3890" s="139">
        <f>C3889</f>
        <v>0</v>
      </c>
      <c r="I3890" s="172" t="s">
        <v>788</v>
      </c>
      <c r="J3890" s="139">
        <f>H3890*E3890</f>
        <v>0</v>
      </c>
      <c r="K3890" s="32"/>
    </row>
    <row r="3891" spans="5:11" ht="24" customHeight="1">
      <c r="E3891" s="139">
        <v>0.77</v>
      </c>
      <c r="F3891" s="171" t="s">
        <v>788</v>
      </c>
      <c r="G3891" s="525" t="s">
        <v>2224</v>
      </c>
      <c r="H3891" s="137">
        <f>C3890</f>
        <v>0</v>
      </c>
      <c r="I3891" s="172" t="s">
        <v>788</v>
      </c>
      <c r="J3891" s="139">
        <f>H3891*E3891</f>
        <v>0</v>
      </c>
      <c r="K3891" s="32"/>
    </row>
    <row r="3892" spans="5:11" ht="24" customHeight="1">
      <c r="E3892" s="139"/>
      <c r="F3892" s="171"/>
      <c r="G3892" s="139" t="s">
        <v>2225</v>
      </c>
      <c r="H3892" s="139">
        <f>46.62+0.48</f>
        <v>47.099999999999994</v>
      </c>
      <c r="I3892" s="172" t="s">
        <v>106</v>
      </c>
      <c r="J3892" s="139">
        <f>H3892</f>
        <v>47.099999999999994</v>
      </c>
      <c r="K3892" s="32"/>
    </row>
    <row r="3893" spans="5:11" ht="24" customHeight="1">
      <c r="E3893" s="139"/>
      <c r="F3893" s="171"/>
      <c r="G3893" s="139"/>
      <c r="H3893" s="139"/>
      <c r="I3893" s="172"/>
      <c r="J3893" s="175" t="s">
        <v>1430</v>
      </c>
      <c r="K3893" s="32"/>
    </row>
    <row r="3894" spans="5:11" ht="24" customHeight="1">
      <c r="E3894" s="139"/>
      <c r="F3894" s="171"/>
      <c r="G3894" s="41" t="s">
        <v>2226</v>
      </c>
      <c r="H3894" s="139"/>
      <c r="I3894" s="172"/>
      <c r="J3894" s="41">
        <f>SUM(J3889:J3892)</f>
        <v>47.099999999999994</v>
      </c>
      <c r="K3894" s="32"/>
    </row>
    <row r="3895" spans="5:11" ht="24" customHeight="1">
      <c r="E3895" s="139"/>
      <c r="F3895" s="171"/>
      <c r="G3895" s="139"/>
      <c r="H3895" s="139"/>
      <c r="I3895" s="172"/>
      <c r="J3895" s="175" t="s">
        <v>1430</v>
      </c>
      <c r="K3895" s="32"/>
    </row>
    <row r="3896" spans="5:11" ht="24" customHeight="1">
      <c r="F3896" s="29"/>
      <c r="G3896" s="526">
        <f>1.285*0.6</f>
        <v>0.77099999999999991</v>
      </c>
      <c r="I3896" s="31"/>
      <c r="J3896" s="28">
        <f>J3894/G3896</f>
        <v>61.089494163424128</v>
      </c>
      <c r="K3896" s="32"/>
    </row>
    <row r="3897" spans="5:11" ht="24" customHeight="1">
      <c r="E3897" s="139">
        <f>C3890</f>
        <v>0</v>
      </c>
      <c r="G3897" s="31">
        <f>E3897*D3856</f>
        <v>0</v>
      </c>
      <c r="J3897" s="28"/>
      <c r="K3897" s="32"/>
    </row>
    <row r="3898" spans="5:11" ht="24" customHeight="1">
      <c r="E3898" s="139"/>
      <c r="G3898" s="31">
        <v>0.8</v>
      </c>
      <c r="J3898" s="28"/>
      <c r="K3898" s="32"/>
    </row>
    <row r="3899" spans="5:11" ht="24" customHeight="1">
      <c r="G3899" s="31">
        <f>SUM(G3895:G3898)</f>
        <v>1.571</v>
      </c>
      <c r="J3899" s="28"/>
      <c r="K3899" s="32"/>
    </row>
    <row r="3900" spans="5:11" ht="24" customHeight="1">
      <c r="G3900" s="31">
        <f>G3899/0.77</f>
        <v>2.04025974025974</v>
      </c>
      <c r="J3900" s="28"/>
      <c r="K3900" s="32"/>
    </row>
    <row r="3901" spans="5:11" ht="24" customHeight="1">
      <c r="G3901" s="28"/>
      <c r="H3901" s="41" t="s">
        <v>2892</v>
      </c>
      <c r="J3901" s="28"/>
      <c r="K3901" s="32"/>
    </row>
    <row r="3902" spans="5:11" ht="24" customHeight="1">
      <c r="F3902" s="27" t="s">
        <v>1253</v>
      </c>
      <c r="G3902" s="38" t="s">
        <v>67</v>
      </c>
      <c r="H3902" s="26" t="s">
        <v>1254</v>
      </c>
    </row>
    <row r="3903" spans="5:11" ht="24" customHeight="1">
      <c r="H3903" s="26" t="s">
        <v>1255</v>
      </c>
    </row>
    <row r="3904" spans="5:11" ht="24" customHeight="1">
      <c r="H3904" s="26" t="s">
        <v>1256</v>
      </c>
    </row>
    <row r="3905" spans="6:11" ht="24" customHeight="1">
      <c r="H3905" s="26" t="s">
        <v>1257</v>
      </c>
    </row>
    <row r="3906" spans="6:11" ht="24" customHeight="1">
      <c r="H3906" s="26" t="s">
        <v>1258</v>
      </c>
    </row>
    <row r="3907" spans="6:11" ht="24" customHeight="1">
      <c r="H3907" s="26" t="s">
        <v>1259</v>
      </c>
    </row>
    <row r="3908" spans="6:11" ht="24" customHeight="1">
      <c r="H3908" s="26" t="s">
        <v>1260</v>
      </c>
    </row>
    <row r="3909" spans="6:11" ht="24" customHeight="1">
      <c r="H3909" s="26" t="s">
        <v>1261</v>
      </c>
    </row>
    <row r="3910" spans="6:11" ht="24" customHeight="1">
      <c r="H3910" s="26" t="s">
        <v>1262</v>
      </c>
    </row>
    <row r="3911" spans="6:11" ht="24" customHeight="1">
      <c r="H3911" s="26" t="s">
        <v>1264</v>
      </c>
    </row>
    <row r="3912" spans="6:11" ht="24" customHeight="1">
      <c r="H3912" s="26" t="s">
        <v>1266</v>
      </c>
    </row>
    <row r="3913" spans="6:11" ht="24" customHeight="1">
      <c r="H3913" s="26" t="s">
        <v>1267</v>
      </c>
    </row>
    <row r="3914" spans="6:11" ht="24" customHeight="1">
      <c r="H3914" s="26" t="s">
        <v>1269</v>
      </c>
    </row>
    <row r="3915" spans="6:11" ht="24" customHeight="1">
      <c r="H3915" s="26" t="s">
        <v>1271</v>
      </c>
    </row>
    <row r="3918" spans="6:11" ht="24" customHeight="1">
      <c r="G3918" s="38" t="s">
        <v>1098</v>
      </c>
      <c r="H3918" s="27" t="s">
        <v>1275</v>
      </c>
    </row>
    <row r="3919" spans="6:11" ht="24" customHeight="1">
      <c r="H3919" s="27" t="s">
        <v>1278</v>
      </c>
    </row>
    <row r="3920" spans="6:11" ht="24" customHeight="1">
      <c r="F3920" s="106">
        <v>3.8100000000000002E-2</v>
      </c>
      <c r="G3920" s="38" t="s">
        <v>93</v>
      </c>
      <c r="H3920" s="26" t="s">
        <v>1268</v>
      </c>
      <c r="I3920" s="40">
        <f>K821</f>
        <v>10351.527999999998</v>
      </c>
      <c r="J3920" s="26" t="s">
        <v>93</v>
      </c>
      <c r="K3920" s="40">
        <f>F3920*I3920</f>
        <v>394.39321679999995</v>
      </c>
    </row>
    <row r="3921" spans="6:11" ht="24" customHeight="1">
      <c r="F3921" s="153">
        <v>5.01</v>
      </c>
      <c r="G3921" s="38" t="s">
        <v>392</v>
      </c>
      <c r="H3921" s="26" t="s">
        <v>1270</v>
      </c>
      <c r="I3921" s="40">
        <f>K1608</f>
        <v>78120.5</v>
      </c>
      <c r="J3921" s="26" t="s">
        <v>84</v>
      </c>
      <c r="K3921" s="40">
        <f>F3921*I3921/1000</f>
        <v>391.38370499999996</v>
      </c>
    </row>
    <row r="3922" spans="6:11" ht="24" customHeight="1">
      <c r="F3922" s="40">
        <v>3</v>
      </c>
      <c r="G3922" s="38" t="s">
        <v>105</v>
      </c>
      <c r="H3922" s="26" t="s">
        <v>1272</v>
      </c>
      <c r="I3922" s="104">
        <v>14.8</v>
      </c>
      <c r="J3922" s="26" t="s">
        <v>105</v>
      </c>
      <c r="K3922" s="40">
        <f t="shared" ref="K3922:K3929" si="343">F3922*I3922</f>
        <v>44.400000000000006</v>
      </c>
    </row>
    <row r="3923" spans="6:11" ht="24" customHeight="1">
      <c r="F3923" s="40">
        <v>12</v>
      </c>
      <c r="G3923" s="38" t="s">
        <v>105</v>
      </c>
      <c r="H3923" s="26" t="s">
        <v>1273</v>
      </c>
      <c r="I3923" s="104">
        <v>2</v>
      </c>
      <c r="J3923" s="26" t="s">
        <v>105</v>
      </c>
      <c r="K3923" s="40">
        <f t="shared" si="343"/>
        <v>24</v>
      </c>
    </row>
    <row r="3924" spans="6:11" ht="24" customHeight="1">
      <c r="F3924" s="40">
        <v>2</v>
      </c>
      <c r="G3924" s="38" t="s">
        <v>105</v>
      </c>
      <c r="H3924" s="26" t="s">
        <v>1274</v>
      </c>
      <c r="I3924" s="104">
        <v>4.9000000000000004</v>
      </c>
      <c r="J3924" s="26" t="s">
        <v>105</v>
      </c>
      <c r="K3924" s="40">
        <f t="shared" si="343"/>
        <v>9.8000000000000007</v>
      </c>
    </row>
    <row r="3925" spans="6:11" ht="24" customHeight="1">
      <c r="F3925" s="40">
        <v>6</v>
      </c>
      <c r="G3925" s="38" t="s">
        <v>105</v>
      </c>
      <c r="H3925" s="26" t="s">
        <v>1276</v>
      </c>
      <c r="I3925" s="104">
        <v>4.45</v>
      </c>
      <c r="J3925" s="26" t="s">
        <v>105</v>
      </c>
      <c r="K3925" s="40">
        <f t="shared" si="343"/>
        <v>26.700000000000003</v>
      </c>
    </row>
    <row r="3926" spans="6:11" ht="24" customHeight="1">
      <c r="F3926" s="40">
        <v>1</v>
      </c>
      <c r="G3926" s="38" t="s">
        <v>105</v>
      </c>
      <c r="H3926" s="26" t="s">
        <v>1279</v>
      </c>
      <c r="I3926" s="40">
        <f>I865</f>
        <v>1076.5999999999999</v>
      </c>
      <c r="J3926" s="26" t="s">
        <v>105</v>
      </c>
      <c r="K3926" s="40">
        <f t="shared" si="343"/>
        <v>1076.5999999999999</v>
      </c>
    </row>
    <row r="3927" spans="6:11" ht="24" customHeight="1">
      <c r="F3927" s="40">
        <v>1</v>
      </c>
      <c r="G3927" s="38" t="s">
        <v>105</v>
      </c>
      <c r="H3927" s="26" t="s">
        <v>1280</v>
      </c>
      <c r="I3927" s="40">
        <f>I866</f>
        <v>702.8</v>
      </c>
      <c r="J3927" s="26" t="s">
        <v>105</v>
      </c>
      <c r="K3927" s="40">
        <f t="shared" si="343"/>
        <v>702.8</v>
      </c>
    </row>
    <row r="3928" spans="6:11" ht="24" customHeight="1">
      <c r="F3928" s="40">
        <v>1</v>
      </c>
      <c r="G3928" s="38" t="s">
        <v>105</v>
      </c>
      <c r="H3928" s="26" t="s">
        <v>1281</v>
      </c>
      <c r="I3928" s="104">
        <v>25</v>
      </c>
      <c r="J3928" s="26" t="s">
        <v>105</v>
      </c>
      <c r="K3928" s="40">
        <f t="shared" si="343"/>
        <v>25</v>
      </c>
    </row>
    <row r="3929" spans="6:11" ht="24" customHeight="1">
      <c r="F3929" s="40">
        <v>0.5</v>
      </c>
      <c r="G3929" s="38" t="s">
        <v>105</v>
      </c>
      <c r="H3929" s="26" t="s">
        <v>1282</v>
      </c>
      <c r="I3929" s="40">
        <f>I868</f>
        <v>576.79999999999995</v>
      </c>
      <c r="J3929" s="26" t="s">
        <v>105</v>
      </c>
      <c r="K3929" s="40">
        <f t="shared" si="343"/>
        <v>288.39999999999998</v>
      </c>
    </row>
    <row r="3930" spans="6:11" ht="24" customHeight="1">
      <c r="G3930" s="38" t="s">
        <v>106</v>
      </c>
      <c r="H3930" s="26" t="s">
        <v>1283</v>
      </c>
      <c r="J3930" s="26" t="s">
        <v>106</v>
      </c>
      <c r="K3930" s="40">
        <v>1.1299999999999999</v>
      </c>
    </row>
    <row r="3931" spans="6:11" ht="24" customHeight="1">
      <c r="K3931" s="35" t="s">
        <v>48</v>
      </c>
    </row>
    <row r="3932" spans="6:11" ht="24" customHeight="1">
      <c r="H3932" s="42" t="s">
        <v>1284</v>
      </c>
      <c r="K3932" s="39">
        <f>SUM(K3920:K3930)</f>
        <v>2984.6069217999998</v>
      </c>
    </row>
    <row r="3933" spans="6:11" ht="24" customHeight="1">
      <c r="K3933" s="35" t="s">
        <v>48</v>
      </c>
    </row>
    <row r="3936" spans="6:11" ht="24" customHeight="1">
      <c r="G3936" s="38" t="s">
        <v>1035</v>
      </c>
      <c r="H3936" s="27" t="s">
        <v>1287</v>
      </c>
    </row>
    <row r="3937" spans="6:12" ht="24" customHeight="1">
      <c r="H3937" s="27" t="s">
        <v>1278</v>
      </c>
    </row>
    <row r="3938" spans="6:12" ht="46.5" customHeight="1">
      <c r="F3938" s="106">
        <v>3.6799999999999999E-2</v>
      </c>
      <c r="G3938" s="38" t="s">
        <v>93</v>
      </c>
      <c r="H3938" s="88" t="s">
        <v>2893</v>
      </c>
      <c r="I3938" s="40">
        <f t="shared" ref="I3938:I3945" si="344">I3920</f>
        <v>10351.527999999998</v>
      </c>
      <c r="J3938" s="26" t="s">
        <v>93</v>
      </c>
      <c r="K3938" s="40">
        <f>F3938*I3938</f>
        <v>380.93623039999994</v>
      </c>
    </row>
    <row r="3939" spans="6:12" ht="24" customHeight="1">
      <c r="F3939" s="40">
        <v>4.87</v>
      </c>
      <c r="G3939" s="38" t="s">
        <v>392</v>
      </c>
      <c r="H3939" s="26" t="s">
        <v>1270</v>
      </c>
      <c r="I3939" s="40">
        <f t="shared" si="344"/>
        <v>78120.5</v>
      </c>
      <c r="J3939" s="26" t="s">
        <v>84</v>
      </c>
      <c r="K3939" s="40">
        <f>F3939*I3939/1000</f>
        <v>380.44683500000002</v>
      </c>
    </row>
    <row r="3940" spans="6:12" ht="24" customHeight="1">
      <c r="F3940" s="40">
        <v>3</v>
      </c>
      <c r="G3940" s="38" t="s">
        <v>105</v>
      </c>
      <c r="H3940" s="26" t="s">
        <v>1272</v>
      </c>
      <c r="I3940" s="150">
        <f t="shared" si="344"/>
        <v>14.8</v>
      </c>
      <c r="J3940" s="26" t="s">
        <v>105</v>
      </c>
      <c r="K3940" s="40">
        <f t="shared" ref="K3940:K3947" si="345">F3940*I3940</f>
        <v>44.400000000000006</v>
      </c>
    </row>
    <row r="3941" spans="6:12" ht="24" customHeight="1">
      <c r="F3941" s="40">
        <v>12</v>
      </c>
      <c r="G3941" s="38" t="s">
        <v>105</v>
      </c>
      <c r="H3941" s="26" t="s">
        <v>1273</v>
      </c>
      <c r="I3941" s="150">
        <f t="shared" si="344"/>
        <v>2</v>
      </c>
      <c r="J3941" s="26" t="s">
        <v>105</v>
      </c>
      <c r="K3941" s="40">
        <f t="shared" si="345"/>
        <v>24</v>
      </c>
    </row>
    <row r="3942" spans="6:12" ht="24" customHeight="1">
      <c r="F3942" s="40">
        <v>2</v>
      </c>
      <c r="G3942" s="38" t="s">
        <v>105</v>
      </c>
      <c r="H3942" s="26" t="s">
        <v>1274</v>
      </c>
      <c r="I3942" s="150">
        <f t="shared" si="344"/>
        <v>4.9000000000000004</v>
      </c>
      <c r="J3942" s="26" t="s">
        <v>105</v>
      </c>
      <c r="K3942" s="40">
        <f t="shared" si="345"/>
        <v>9.8000000000000007</v>
      </c>
    </row>
    <row r="3943" spans="6:12" ht="24" customHeight="1">
      <c r="F3943" s="40">
        <v>6</v>
      </c>
      <c r="G3943" s="38" t="s">
        <v>105</v>
      </c>
      <c r="H3943" s="26" t="s">
        <v>1276</v>
      </c>
      <c r="I3943" s="150">
        <f t="shared" si="344"/>
        <v>4.45</v>
      </c>
      <c r="J3943" s="26" t="s">
        <v>105</v>
      </c>
      <c r="K3943" s="40">
        <f t="shared" si="345"/>
        <v>26.700000000000003</v>
      </c>
    </row>
    <row r="3944" spans="6:12" ht="24" customHeight="1">
      <c r="F3944" s="40">
        <v>1</v>
      </c>
      <c r="G3944" s="38" t="s">
        <v>105</v>
      </c>
      <c r="H3944" s="26" t="s">
        <v>1279</v>
      </c>
      <c r="I3944" s="40">
        <f t="shared" si="344"/>
        <v>1076.5999999999999</v>
      </c>
      <c r="J3944" s="26" t="s">
        <v>105</v>
      </c>
      <c r="K3944" s="40">
        <f t="shared" si="345"/>
        <v>1076.5999999999999</v>
      </c>
    </row>
    <row r="3945" spans="6:12" ht="24" customHeight="1">
      <c r="F3945" s="40">
        <v>1</v>
      </c>
      <c r="G3945" s="38" t="s">
        <v>105</v>
      </c>
      <c r="H3945" s="26" t="s">
        <v>1280</v>
      </c>
      <c r="I3945" s="40">
        <f t="shared" si="344"/>
        <v>702.8</v>
      </c>
      <c r="J3945" s="26" t="s">
        <v>105</v>
      </c>
      <c r="K3945" s="40">
        <f t="shared" si="345"/>
        <v>702.8</v>
      </c>
    </row>
    <row r="3946" spans="6:12" ht="24" customHeight="1">
      <c r="F3946" s="40">
        <v>1</v>
      </c>
      <c r="G3946" s="38" t="s">
        <v>105</v>
      </c>
      <c r="H3946" s="26" t="s">
        <v>1281</v>
      </c>
      <c r="I3946" s="154">
        <v>25</v>
      </c>
      <c r="J3946" s="26" t="s">
        <v>105</v>
      </c>
      <c r="K3946" s="40">
        <f t="shared" si="345"/>
        <v>25</v>
      </c>
    </row>
    <row r="3947" spans="6:12" ht="24" customHeight="1">
      <c r="F3947" s="40">
        <v>0.5</v>
      </c>
      <c r="G3947" s="38" t="s">
        <v>105</v>
      </c>
      <c r="H3947" s="26" t="s">
        <v>1282</v>
      </c>
      <c r="I3947" s="40">
        <f>I3929</f>
        <v>576.79999999999995</v>
      </c>
      <c r="J3947" s="26" t="s">
        <v>105</v>
      </c>
      <c r="K3947" s="40">
        <f t="shared" si="345"/>
        <v>288.39999999999998</v>
      </c>
    </row>
    <row r="3948" spans="6:12" ht="24" customHeight="1">
      <c r="G3948" s="38" t="s">
        <v>106</v>
      </c>
      <c r="H3948" s="26" t="s">
        <v>1283</v>
      </c>
      <c r="J3948" s="26" t="s">
        <v>106</v>
      </c>
      <c r="K3948" s="40">
        <f>1.9+0.08</f>
        <v>1.98</v>
      </c>
    </row>
    <row r="3949" spans="6:12" ht="24" customHeight="1">
      <c r="K3949" s="35" t="s">
        <v>48</v>
      </c>
    </row>
    <row r="3950" spans="6:12" ht="24" customHeight="1">
      <c r="H3950" s="42" t="s">
        <v>1284</v>
      </c>
      <c r="K3950" s="39">
        <f>SUM(K3938:K3948)</f>
        <v>2961.0630653999997</v>
      </c>
      <c r="L3950" s="28">
        <f>K3950-1729</f>
        <v>1232.0630653999997</v>
      </c>
    </row>
    <row r="3951" spans="6:12" ht="24" customHeight="1">
      <c r="K3951" s="35" t="s">
        <v>48</v>
      </c>
    </row>
    <row r="3952" spans="6:12" ht="24" customHeight="1">
      <c r="F3952" s="27"/>
      <c r="G3952" s="38" t="s">
        <v>1064</v>
      </c>
      <c r="H3952" s="27" t="s">
        <v>1294</v>
      </c>
    </row>
    <row r="3953" spans="6:11" ht="24" customHeight="1">
      <c r="H3953" s="27" t="s">
        <v>1278</v>
      </c>
    </row>
    <row r="3954" spans="6:11" ht="24" customHeight="1">
      <c r="F3954" s="106">
        <v>3.5299999999999998E-2</v>
      </c>
      <c r="G3954" s="38" t="s">
        <v>93</v>
      </c>
      <c r="H3954" s="26" t="s">
        <v>1268</v>
      </c>
      <c r="I3954" s="40">
        <f t="shared" ref="I3954:I3959" si="346">I3938</f>
        <v>10351.527999999998</v>
      </c>
      <c r="J3954" s="26" t="s">
        <v>93</v>
      </c>
      <c r="K3954" s="40">
        <f>F3954*I3954</f>
        <v>365.4089383999999</v>
      </c>
    </row>
    <row r="3955" spans="6:11" ht="24" customHeight="1">
      <c r="F3955" s="40">
        <v>4.59</v>
      </c>
      <c r="G3955" s="38" t="s">
        <v>392</v>
      </c>
      <c r="H3955" s="26" t="s">
        <v>1270</v>
      </c>
      <c r="I3955" s="40">
        <f t="shared" si="346"/>
        <v>78120.5</v>
      </c>
      <c r="J3955" s="26" t="s">
        <v>84</v>
      </c>
      <c r="K3955" s="40">
        <f>F3955*I3955/1000</f>
        <v>358.57309499999997</v>
      </c>
    </row>
    <row r="3956" spans="6:11" ht="24" customHeight="1">
      <c r="F3956" s="40">
        <v>3</v>
      </c>
      <c r="G3956" s="38" t="s">
        <v>105</v>
      </c>
      <c r="H3956" s="26" t="s">
        <v>1272</v>
      </c>
      <c r="I3956" s="150">
        <f t="shared" si="346"/>
        <v>14.8</v>
      </c>
      <c r="J3956" s="26" t="s">
        <v>105</v>
      </c>
      <c r="K3956" s="40">
        <f t="shared" ref="K3956:K3963" si="347">F3956*I3956</f>
        <v>44.400000000000006</v>
      </c>
    </row>
    <row r="3957" spans="6:11" ht="24" customHeight="1">
      <c r="F3957" s="40">
        <v>12</v>
      </c>
      <c r="G3957" s="38" t="s">
        <v>105</v>
      </c>
      <c r="H3957" s="26" t="s">
        <v>1273</v>
      </c>
      <c r="I3957" s="150">
        <f t="shared" si="346"/>
        <v>2</v>
      </c>
      <c r="J3957" s="26" t="s">
        <v>105</v>
      </c>
      <c r="K3957" s="40">
        <f t="shared" si="347"/>
        <v>24</v>
      </c>
    </row>
    <row r="3958" spans="6:11" ht="24" customHeight="1">
      <c r="F3958" s="40">
        <v>2</v>
      </c>
      <c r="G3958" s="38" t="s">
        <v>105</v>
      </c>
      <c r="H3958" s="40" t="str">
        <f>H3942</f>
        <v>TOWER BOLT RECEIVER</v>
      </c>
      <c r="I3958" s="150">
        <f t="shared" si="346"/>
        <v>4.9000000000000004</v>
      </c>
      <c r="J3958" s="26" t="s">
        <v>105</v>
      </c>
      <c r="K3958" s="40">
        <f t="shared" si="347"/>
        <v>9.8000000000000007</v>
      </c>
    </row>
    <row r="3959" spans="6:11" ht="24" customHeight="1">
      <c r="F3959" s="40">
        <v>6</v>
      </c>
      <c r="G3959" s="38" t="s">
        <v>105</v>
      </c>
      <c r="H3959" s="26" t="s">
        <v>1276</v>
      </c>
      <c r="I3959" s="150">
        <f t="shared" si="346"/>
        <v>4.45</v>
      </c>
      <c r="J3959" s="26" t="s">
        <v>105</v>
      </c>
      <c r="K3959" s="40">
        <f t="shared" si="347"/>
        <v>26.700000000000003</v>
      </c>
    </row>
    <row r="3960" spans="6:11" ht="24" customHeight="1">
      <c r="F3960" s="40">
        <v>1</v>
      </c>
      <c r="G3960" s="38" t="s">
        <v>105</v>
      </c>
      <c r="H3960" s="26" t="s">
        <v>1279</v>
      </c>
      <c r="I3960" s="40">
        <f>I3944</f>
        <v>1076.5999999999999</v>
      </c>
      <c r="J3960" s="26" t="s">
        <v>105</v>
      </c>
      <c r="K3960" s="40">
        <f t="shared" si="347"/>
        <v>1076.5999999999999</v>
      </c>
    </row>
    <row r="3961" spans="6:11" ht="24" customHeight="1">
      <c r="F3961" s="40">
        <v>1</v>
      </c>
      <c r="G3961" s="38" t="s">
        <v>105</v>
      </c>
      <c r="H3961" s="26" t="s">
        <v>1280</v>
      </c>
      <c r="I3961" s="40">
        <f>I3945</f>
        <v>702.8</v>
      </c>
      <c r="J3961" s="26" t="s">
        <v>105</v>
      </c>
      <c r="K3961" s="40">
        <f t="shared" si="347"/>
        <v>702.8</v>
      </c>
    </row>
    <row r="3962" spans="6:11" ht="24" customHeight="1">
      <c r="F3962" s="40">
        <v>1</v>
      </c>
      <c r="G3962" s="38" t="s">
        <v>105</v>
      </c>
      <c r="H3962" s="40" t="str">
        <f>H3946</f>
        <v>MOULDING CHARGES</v>
      </c>
      <c r="I3962" s="40">
        <f>I3946</f>
        <v>25</v>
      </c>
      <c r="J3962" s="26" t="s">
        <v>105</v>
      </c>
      <c r="K3962" s="40">
        <f t="shared" si="347"/>
        <v>25</v>
      </c>
    </row>
    <row r="3963" spans="6:11" ht="24" customHeight="1">
      <c r="F3963" s="40">
        <v>0.5</v>
      </c>
      <c r="G3963" s="38" t="s">
        <v>105</v>
      </c>
      <c r="H3963" s="26" t="s">
        <v>1282</v>
      </c>
      <c r="I3963" s="40">
        <f>I3947</f>
        <v>576.79999999999995</v>
      </c>
      <c r="J3963" s="26" t="s">
        <v>105</v>
      </c>
      <c r="K3963" s="40">
        <f t="shared" si="347"/>
        <v>288.39999999999998</v>
      </c>
    </row>
    <row r="3964" spans="6:11" ht="24" customHeight="1">
      <c r="G3964" s="38" t="s">
        <v>106</v>
      </c>
      <c r="H3964" s="26" t="s">
        <v>1283</v>
      </c>
      <c r="I3964" s="40">
        <f>I3948</f>
        <v>0</v>
      </c>
      <c r="J3964" s="26" t="s">
        <v>106</v>
      </c>
      <c r="K3964" s="40">
        <v>1.39</v>
      </c>
    </row>
    <row r="3965" spans="6:11" ht="24" customHeight="1">
      <c r="K3965" s="35" t="s">
        <v>48</v>
      </c>
    </row>
    <row r="3966" spans="6:11" ht="24" customHeight="1">
      <c r="H3966" s="42" t="s">
        <v>1284</v>
      </c>
      <c r="K3966" s="39">
        <f>SUM(K3954:K3964)</f>
        <v>2923.0720333999998</v>
      </c>
    </row>
    <row r="3967" spans="6:11" ht="24" customHeight="1">
      <c r="K3967" s="35" t="s">
        <v>48</v>
      </c>
    </row>
    <row r="3969" spans="6:11" ht="24" customHeight="1">
      <c r="G3969" s="28"/>
      <c r="H3969" s="27" t="s">
        <v>1265</v>
      </c>
      <c r="J3969" s="28"/>
      <c r="K3969" s="35"/>
    </row>
    <row r="3970" spans="6:11" ht="24" customHeight="1">
      <c r="G3970" s="28"/>
      <c r="J3970" s="28"/>
      <c r="K3970" s="35"/>
    </row>
    <row r="3971" spans="6:11" ht="24" customHeight="1">
      <c r="F3971" s="106">
        <v>6.5000000000000002E-2</v>
      </c>
      <c r="G3971" s="38" t="s">
        <v>93</v>
      </c>
      <c r="H3971" s="26" t="s">
        <v>1268</v>
      </c>
      <c r="I3971" s="40">
        <f>I3954</f>
        <v>10351.527999999998</v>
      </c>
      <c r="J3971" s="26" t="s">
        <v>93</v>
      </c>
      <c r="K3971" s="40">
        <f>I3971*F3971</f>
        <v>672.84931999999992</v>
      </c>
    </row>
    <row r="3972" spans="6:11" ht="24" customHeight="1">
      <c r="F3972" s="152">
        <v>8.4499999999999993</v>
      </c>
      <c r="G3972" s="38" t="s">
        <v>392</v>
      </c>
      <c r="H3972" s="26" t="s">
        <v>1270</v>
      </c>
      <c r="I3972" s="40">
        <f t="shared" ref="I3972:I3981" si="348">I3955</f>
        <v>78120.5</v>
      </c>
      <c r="J3972" s="26" t="s">
        <v>84</v>
      </c>
      <c r="K3972" s="40">
        <f>I3972*F3972/1000</f>
        <v>660.11822499999994</v>
      </c>
    </row>
    <row r="3973" spans="6:11" ht="24" customHeight="1">
      <c r="F3973" s="40">
        <v>3</v>
      </c>
      <c r="G3973" s="38" t="s">
        <v>105</v>
      </c>
      <c r="H3973" s="26" t="s">
        <v>1272</v>
      </c>
      <c r="I3973" s="40">
        <f t="shared" si="348"/>
        <v>14.8</v>
      </c>
      <c r="J3973" s="26" t="s">
        <v>105</v>
      </c>
      <c r="K3973" s="40">
        <f t="shared" ref="K3973:K3980" si="349">I3973*F3973</f>
        <v>44.400000000000006</v>
      </c>
    </row>
    <row r="3974" spans="6:11" ht="24" customHeight="1">
      <c r="F3974" s="40">
        <v>12</v>
      </c>
      <c r="G3974" s="38" t="s">
        <v>105</v>
      </c>
      <c r="H3974" s="26" t="s">
        <v>1273</v>
      </c>
      <c r="I3974" s="40">
        <f t="shared" si="348"/>
        <v>2</v>
      </c>
      <c r="J3974" s="26" t="s">
        <v>105</v>
      </c>
      <c r="K3974" s="40">
        <f t="shared" si="349"/>
        <v>24</v>
      </c>
    </row>
    <row r="3975" spans="6:11" ht="24" customHeight="1">
      <c r="F3975" s="40">
        <v>2</v>
      </c>
      <c r="G3975" s="38" t="s">
        <v>105</v>
      </c>
      <c r="H3975" s="26" t="s">
        <v>1274</v>
      </c>
      <c r="I3975" s="40">
        <f t="shared" si="348"/>
        <v>4.9000000000000004</v>
      </c>
      <c r="J3975" s="26" t="s">
        <v>105</v>
      </c>
      <c r="K3975" s="40">
        <f t="shared" si="349"/>
        <v>9.8000000000000007</v>
      </c>
    </row>
    <row r="3976" spans="6:11" ht="24" customHeight="1">
      <c r="F3976" s="40">
        <v>6</v>
      </c>
      <c r="G3976" s="38" t="s">
        <v>105</v>
      </c>
      <c r="H3976" s="26" t="s">
        <v>1276</v>
      </c>
      <c r="I3976" s="40">
        <f t="shared" si="348"/>
        <v>4.45</v>
      </c>
      <c r="J3976" s="26" t="s">
        <v>105</v>
      </c>
      <c r="K3976" s="40">
        <f t="shared" si="349"/>
        <v>26.700000000000003</v>
      </c>
    </row>
    <row r="3977" spans="6:11" ht="24" customHeight="1">
      <c r="F3977" s="40">
        <v>1</v>
      </c>
      <c r="G3977" s="38" t="s">
        <v>105</v>
      </c>
      <c r="H3977" s="26" t="s">
        <v>1279</v>
      </c>
      <c r="I3977" s="40">
        <f t="shared" si="348"/>
        <v>1076.5999999999999</v>
      </c>
      <c r="J3977" s="26" t="s">
        <v>105</v>
      </c>
      <c r="K3977" s="40">
        <f t="shared" si="349"/>
        <v>1076.5999999999999</v>
      </c>
    </row>
    <row r="3978" spans="6:11" ht="24" customHeight="1">
      <c r="F3978" s="40">
        <v>1</v>
      </c>
      <c r="G3978" s="38" t="s">
        <v>105</v>
      </c>
      <c r="H3978" s="26" t="s">
        <v>1280</v>
      </c>
      <c r="I3978" s="40">
        <f t="shared" si="348"/>
        <v>702.8</v>
      </c>
      <c r="J3978" s="26" t="s">
        <v>105</v>
      </c>
      <c r="K3978" s="40">
        <f t="shared" si="349"/>
        <v>702.8</v>
      </c>
    </row>
    <row r="3979" spans="6:11" ht="24" customHeight="1">
      <c r="F3979" s="40">
        <v>1</v>
      </c>
      <c r="G3979" s="38" t="s">
        <v>105</v>
      </c>
      <c r="H3979" s="26" t="s">
        <v>1281</v>
      </c>
      <c r="I3979" s="40">
        <f t="shared" si="348"/>
        <v>25</v>
      </c>
      <c r="J3979" s="26" t="s">
        <v>105</v>
      </c>
      <c r="K3979" s="40">
        <f t="shared" si="349"/>
        <v>25</v>
      </c>
    </row>
    <row r="3980" spans="6:11" ht="24" customHeight="1">
      <c r="F3980" s="40">
        <v>0.5</v>
      </c>
      <c r="G3980" s="38" t="s">
        <v>105</v>
      </c>
      <c r="H3980" s="26" t="s">
        <v>1282</v>
      </c>
      <c r="I3980" s="40">
        <f t="shared" si="348"/>
        <v>576.79999999999995</v>
      </c>
      <c r="J3980" s="26" t="s">
        <v>105</v>
      </c>
      <c r="K3980" s="40">
        <f t="shared" si="349"/>
        <v>288.39999999999998</v>
      </c>
    </row>
    <row r="3981" spans="6:11" ht="24" customHeight="1">
      <c r="G3981" s="38" t="s">
        <v>106</v>
      </c>
      <c r="H3981" s="26" t="s">
        <v>1283</v>
      </c>
      <c r="I3981" s="40">
        <f t="shared" si="348"/>
        <v>0</v>
      </c>
      <c r="J3981" s="26" t="s">
        <v>106</v>
      </c>
      <c r="K3981" s="40">
        <v>2.1</v>
      </c>
    </row>
    <row r="3982" spans="6:11" ht="24" customHeight="1">
      <c r="K3982" s="35" t="s">
        <v>48</v>
      </c>
    </row>
    <row r="3983" spans="6:11" ht="24" customHeight="1">
      <c r="H3983" s="42" t="s">
        <v>1284</v>
      </c>
      <c r="K3983" s="100">
        <f>SUM(K3971:K3981)</f>
        <v>3532.7675449999997</v>
      </c>
    </row>
    <row r="3984" spans="6:11" ht="24" customHeight="1">
      <c r="K3984" s="35" t="s">
        <v>48</v>
      </c>
    </row>
    <row r="3985" spans="6:11" ht="24" customHeight="1">
      <c r="F3985" s="713" t="s">
        <v>2894</v>
      </c>
      <c r="G3985" s="713"/>
      <c r="H3985" s="713"/>
      <c r="I3985" s="221"/>
      <c r="J3985" s="221"/>
    </row>
    <row r="3986" spans="6:11" ht="24" customHeight="1">
      <c r="F3986" s="32"/>
      <c r="H3986" s="184" t="s">
        <v>2895</v>
      </c>
    </row>
    <row r="3987" spans="6:11" ht="24" customHeight="1">
      <c r="F3987" s="76">
        <v>4.88</v>
      </c>
      <c r="G3987" s="38" t="s">
        <v>488</v>
      </c>
      <c r="H3987" s="26" t="s">
        <v>1582</v>
      </c>
      <c r="I3987" s="40">
        <f>AD1350</f>
        <v>287</v>
      </c>
      <c r="J3987" s="38" t="s">
        <v>488</v>
      </c>
      <c r="K3987" s="40">
        <f t="shared" ref="K3987:K3996" si="350">I3987*F3987</f>
        <v>1400.56</v>
      </c>
    </row>
    <row r="3988" spans="6:11" ht="24" customHeight="1">
      <c r="F3988" s="76">
        <v>7.76</v>
      </c>
      <c r="G3988" s="38" t="s">
        <v>488</v>
      </c>
      <c r="H3988" s="26" t="s">
        <v>1582</v>
      </c>
      <c r="I3988" s="40">
        <f>I3987</f>
        <v>287</v>
      </c>
      <c r="J3988" s="38" t="s">
        <v>488</v>
      </c>
      <c r="K3988" s="40">
        <f t="shared" si="350"/>
        <v>2227.12</v>
      </c>
    </row>
    <row r="3989" spans="6:11" ht="24" customHeight="1">
      <c r="F3989" s="76">
        <v>3.03</v>
      </c>
      <c r="G3989" s="38" t="s">
        <v>488</v>
      </c>
      <c r="H3989" s="26" t="s">
        <v>1582</v>
      </c>
      <c r="I3989" s="40">
        <f>I3988</f>
        <v>287</v>
      </c>
      <c r="J3989" s="38" t="s">
        <v>488</v>
      </c>
      <c r="K3989" s="40">
        <f t="shared" si="350"/>
        <v>869.6099999999999</v>
      </c>
    </row>
    <row r="3990" spans="6:11" ht="24" customHeight="1">
      <c r="F3990" s="76">
        <v>1.45</v>
      </c>
      <c r="G3990" s="38" t="s">
        <v>488</v>
      </c>
      <c r="H3990" s="26" t="s">
        <v>1582</v>
      </c>
      <c r="I3990" s="40">
        <f>I3989</f>
        <v>287</v>
      </c>
      <c r="J3990" s="38" t="s">
        <v>488</v>
      </c>
      <c r="K3990" s="40">
        <f t="shared" si="350"/>
        <v>416.15</v>
      </c>
    </row>
    <row r="3991" spans="6:11" ht="24" customHeight="1">
      <c r="F3991" s="76">
        <v>2.4300000000000002</v>
      </c>
      <c r="G3991" s="38" t="s">
        <v>480</v>
      </c>
      <c r="H3991" s="26" t="s">
        <v>1588</v>
      </c>
      <c r="I3991" s="40">
        <f>AD1354</f>
        <v>208.8</v>
      </c>
      <c r="J3991" s="38" t="s">
        <v>480</v>
      </c>
      <c r="K3991" s="40">
        <f t="shared" si="350"/>
        <v>507.38400000000007</v>
      </c>
    </row>
    <row r="3992" spans="6:11" ht="24" customHeight="1">
      <c r="F3992" s="76">
        <v>11.7</v>
      </c>
      <c r="G3992" s="38" t="s">
        <v>1125</v>
      </c>
      <c r="H3992" s="26" t="s">
        <v>1591</v>
      </c>
      <c r="I3992" s="40">
        <f>AD1355</f>
        <v>28.6</v>
      </c>
      <c r="J3992" s="38" t="s">
        <v>1125</v>
      </c>
      <c r="K3992" s="40">
        <f t="shared" si="350"/>
        <v>334.62</v>
      </c>
    </row>
    <row r="3993" spans="6:11" ht="24" customHeight="1">
      <c r="F3993" s="76">
        <v>3</v>
      </c>
      <c r="G3993" s="38" t="s">
        <v>196</v>
      </c>
      <c r="H3993" s="26" t="s">
        <v>2896</v>
      </c>
      <c r="I3993" s="40">
        <v>350</v>
      </c>
      <c r="J3993" s="38" t="s">
        <v>196</v>
      </c>
      <c r="K3993" s="40">
        <f t="shared" si="350"/>
        <v>1050</v>
      </c>
    </row>
    <row r="3994" spans="6:11" ht="24" customHeight="1">
      <c r="F3994" s="76">
        <v>3</v>
      </c>
      <c r="G3994" s="38" t="s">
        <v>196</v>
      </c>
      <c r="H3994" s="26" t="s">
        <v>1595</v>
      </c>
      <c r="I3994" s="40">
        <f>V1359</f>
        <v>50.9</v>
      </c>
      <c r="J3994" s="38" t="s">
        <v>196</v>
      </c>
      <c r="K3994" s="40">
        <f t="shared" si="350"/>
        <v>152.69999999999999</v>
      </c>
    </row>
    <row r="3995" spans="6:11" ht="24" customHeight="1">
      <c r="F3995" s="76">
        <v>4</v>
      </c>
      <c r="G3995" s="38" t="s">
        <v>196</v>
      </c>
      <c r="H3995" s="26" t="s">
        <v>1601</v>
      </c>
      <c r="I3995" s="40">
        <f>AD1360</f>
        <v>15</v>
      </c>
      <c r="J3995" s="38" t="s">
        <v>196</v>
      </c>
      <c r="K3995" s="40">
        <f t="shared" si="350"/>
        <v>60</v>
      </c>
    </row>
    <row r="3996" spans="6:11" ht="24" customHeight="1">
      <c r="F3996" s="76">
        <v>2.4300000000000002</v>
      </c>
      <c r="G3996" s="38" t="s">
        <v>788</v>
      </c>
      <c r="H3996" s="26" t="s">
        <v>1602</v>
      </c>
      <c r="I3996" s="40">
        <f>AD1361</f>
        <v>2156</v>
      </c>
      <c r="J3996" s="38" t="s">
        <v>196</v>
      </c>
      <c r="K3996" s="40">
        <f t="shared" si="350"/>
        <v>5239.08</v>
      </c>
    </row>
    <row r="3997" spans="6:11" ht="24" customHeight="1">
      <c r="F3997" s="32"/>
      <c r="H3997" s="26" t="s">
        <v>1604</v>
      </c>
      <c r="J3997" s="38"/>
      <c r="K3997" s="40"/>
    </row>
    <row r="3998" spans="6:11" ht="24" customHeight="1">
      <c r="F3998" s="32"/>
      <c r="G3998" s="28"/>
      <c r="H3998" s="37" t="s">
        <v>1606</v>
      </c>
      <c r="J3998" s="28"/>
      <c r="K3998" s="40">
        <f>SUM(K3987:K3997)</f>
        <v>12257.223999999998</v>
      </c>
    </row>
    <row r="3999" spans="6:11" ht="24" customHeight="1">
      <c r="F3999" s="32"/>
      <c r="G3999" s="28"/>
      <c r="H3999" s="37" t="s">
        <v>2897</v>
      </c>
      <c r="J3999" s="38" t="s">
        <v>788</v>
      </c>
      <c r="K3999" s="40">
        <f>K3998/F3996</f>
        <v>5044.1251028806573</v>
      </c>
    </row>
    <row r="4000" spans="6:11" ht="24" customHeight="1">
      <c r="F4000" s="32"/>
      <c r="G4000" s="28"/>
      <c r="J4000" s="28"/>
      <c r="K4000" s="39"/>
    </row>
    <row r="4001" spans="6:11" ht="24" customHeight="1">
      <c r="F4001" s="32"/>
      <c r="G4001" s="28"/>
      <c r="J4001" s="28"/>
    </row>
    <row r="4002" spans="6:11" ht="24" customHeight="1">
      <c r="H4002" s="713" t="s">
        <v>2898</v>
      </c>
      <c r="I4002" s="713"/>
      <c r="J4002" s="713"/>
      <c r="K4002" s="713"/>
    </row>
    <row r="4003" spans="6:11" ht="24" customHeight="1">
      <c r="F4003" s="107"/>
      <c r="G4003" s="38"/>
      <c r="H4003" s="26"/>
      <c r="I4003" s="40"/>
      <c r="J4003" s="38"/>
      <c r="K4003" s="40"/>
    </row>
    <row r="4004" spans="6:11" ht="24" customHeight="1">
      <c r="F4004" s="107"/>
      <c r="G4004" s="38"/>
      <c r="H4004" s="26"/>
      <c r="I4004" s="40"/>
      <c r="J4004" s="38"/>
      <c r="K4004" s="40"/>
    </row>
    <row r="4005" spans="6:11" ht="24" customHeight="1">
      <c r="F4005" s="107"/>
      <c r="G4005" s="38"/>
      <c r="H4005" s="26"/>
      <c r="I4005" s="40"/>
      <c r="J4005" s="38"/>
      <c r="K4005" s="40"/>
    </row>
    <row r="4006" spans="6:11" ht="24" customHeight="1">
      <c r="F4006" s="107">
        <v>12.08</v>
      </c>
      <c r="G4006" s="38" t="s">
        <v>488</v>
      </c>
      <c r="H4006" s="26" t="s">
        <v>1582</v>
      </c>
      <c r="I4006" s="40">
        <f>I3987</f>
        <v>287</v>
      </c>
      <c r="J4006" s="38" t="s">
        <v>488</v>
      </c>
      <c r="K4006" s="40">
        <f>I4006*F4006</f>
        <v>3466.96</v>
      </c>
    </row>
    <row r="4007" spans="6:11" ht="24" customHeight="1">
      <c r="F4007" s="107">
        <v>1.823</v>
      </c>
      <c r="G4007" s="38" t="s">
        <v>480</v>
      </c>
      <c r="H4007" s="26" t="s">
        <v>1588</v>
      </c>
      <c r="I4007" s="40">
        <f>I3991</f>
        <v>208.8</v>
      </c>
      <c r="J4007" s="38" t="s">
        <v>480</v>
      </c>
      <c r="K4007" s="40">
        <f t="shared" ref="K4007:K4012" si="351">I4007*F4007</f>
        <v>380.64240000000001</v>
      </c>
    </row>
    <row r="4008" spans="6:11" ht="24" customHeight="1">
      <c r="F4008" s="107">
        <v>8.1</v>
      </c>
      <c r="G4008" s="38" t="s">
        <v>1125</v>
      </c>
      <c r="H4008" s="26" t="s">
        <v>1591</v>
      </c>
      <c r="I4008" s="40">
        <f>I3992</f>
        <v>28.6</v>
      </c>
      <c r="J4008" s="38" t="s">
        <v>1125</v>
      </c>
      <c r="K4008" s="40">
        <f t="shared" si="351"/>
        <v>231.66</v>
      </c>
    </row>
    <row r="4009" spans="6:11" ht="24" customHeight="1">
      <c r="F4009" s="107">
        <v>2</v>
      </c>
      <c r="G4009" s="38" t="s">
        <v>1693</v>
      </c>
      <c r="H4009" s="26" t="s">
        <v>2899</v>
      </c>
      <c r="I4009" s="40">
        <f>I3993</f>
        <v>350</v>
      </c>
      <c r="J4009" s="38" t="s">
        <v>196</v>
      </c>
      <c r="K4009" s="40">
        <f t="shared" si="351"/>
        <v>700</v>
      </c>
    </row>
    <row r="4010" spans="6:11" ht="24" customHeight="1">
      <c r="F4010" s="107">
        <v>2</v>
      </c>
      <c r="G4010" s="38" t="s">
        <v>196</v>
      </c>
      <c r="H4010" s="26" t="s">
        <v>1595</v>
      </c>
      <c r="I4010" s="40">
        <f>I3994</f>
        <v>50.9</v>
      </c>
      <c r="J4010" s="38" t="s">
        <v>196</v>
      </c>
      <c r="K4010" s="40">
        <f t="shared" si="351"/>
        <v>101.8</v>
      </c>
    </row>
    <row r="4011" spans="6:11" ht="24" customHeight="1">
      <c r="F4011" s="107">
        <v>4</v>
      </c>
      <c r="G4011" s="38" t="s">
        <v>196</v>
      </c>
      <c r="H4011" s="26" t="s">
        <v>1601</v>
      </c>
      <c r="I4011" s="40">
        <v>15</v>
      </c>
      <c r="J4011" s="38" t="s">
        <v>196</v>
      </c>
      <c r="K4011" s="40">
        <f t="shared" si="351"/>
        <v>60</v>
      </c>
    </row>
    <row r="4012" spans="6:11" ht="24" customHeight="1">
      <c r="F4012" s="107">
        <v>1.823</v>
      </c>
      <c r="G4012" s="38" t="s">
        <v>788</v>
      </c>
      <c r="H4012" s="26" t="s">
        <v>1602</v>
      </c>
      <c r="I4012" s="28">
        <f>I3996</f>
        <v>2156</v>
      </c>
      <c r="J4012" s="38" t="s">
        <v>788</v>
      </c>
      <c r="K4012" s="40">
        <f t="shared" si="351"/>
        <v>3930.3879999999999</v>
      </c>
    </row>
    <row r="4013" spans="6:11" ht="24" customHeight="1">
      <c r="H4013" s="26"/>
      <c r="J4013" s="33"/>
      <c r="K4013" s="40"/>
    </row>
    <row r="4014" spans="6:11" ht="24" customHeight="1">
      <c r="G4014" s="28"/>
      <c r="H4014" s="138" t="s">
        <v>2900</v>
      </c>
      <c r="J4014" s="28"/>
      <c r="K4014" s="48">
        <f>SUM(K4006:K4013)</f>
        <v>8871.4503999999997</v>
      </c>
    </row>
    <row r="4015" spans="6:11" ht="24" customHeight="1">
      <c r="G4015" s="28"/>
      <c r="H4015" s="138" t="s">
        <v>2901</v>
      </c>
      <c r="J4015" s="28"/>
      <c r="K4015" s="41">
        <f>K4014/F4012</f>
        <v>4866.4017553483272</v>
      </c>
    </row>
    <row r="4016" spans="6:11" ht="24" customHeight="1">
      <c r="G4016" s="28"/>
      <c r="H4016" s="138"/>
      <c r="J4016" s="28"/>
    </row>
    <row r="4017" spans="6:11" ht="24" customHeight="1">
      <c r="F4017" s="32"/>
      <c r="H4017" s="184" t="s">
        <v>2902</v>
      </c>
    </row>
    <row r="4018" spans="6:11" ht="24" customHeight="1">
      <c r="F4018" s="76">
        <v>3.72</v>
      </c>
      <c r="G4018" s="38" t="s">
        <v>488</v>
      </c>
      <c r="H4018" s="26" t="s">
        <v>1582</v>
      </c>
      <c r="I4018" s="40">
        <f>I3987</f>
        <v>287</v>
      </c>
      <c r="J4018" s="38" t="s">
        <v>488</v>
      </c>
      <c r="K4018" s="40">
        <f>I4018*F4018</f>
        <v>1067.6400000000001</v>
      </c>
    </row>
    <row r="4019" spans="6:11" ht="24" customHeight="1">
      <c r="F4019" s="76">
        <v>4.57</v>
      </c>
      <c r="G4019" s="38" t="s">
        <v>488</v>
      </c>
      <c r="H4019" s="26" t="s">
        <v>1582</v>
      </c>
      <c r="I4019" s="40">
        <f>I4018</f>
        <v>287</v>
      </c>
      <c r="J4019" s="38" t="s">
        <v>488</v>
      </c>
      <c r="K4019" s="40">
        <f t="shared" ref="K4019:K4025" si="352">I4019*F4019</f>
        <v>1311.5900000000001</v>
      </c>
    </row>
    <row r="4020" spans="6:11" ht="24" customHeight="1">
      <c r="F4020" s="76">
        <v>1.18</v>
      </c>
      <c r="G4020" s="38" t="s">
        <v>488</v>
      </c>
      <c r="H4020" s="26" t="s">
        <v>1582</v>
      </c>
      <c r="I4020" s="40">
        <f>I4019</f>
        <v>287</v>
      </c>
      <c r="J4020" s="38" t="s">
        <v>488</v>
      </c>
      <c r="K4020" s="40">
        <f t="shared" si="352"/>
        <v>338.65999999999997</v>
      </c>
    </row>
    <row r="4021" spans="6:11" ht="24" customHeight="1">
      <c r="F4021" s="76">
        <v>0.86</v>
      </c>
      <c r="G4021" s="38" t="s">
        <v>488</v>
      </c>
      <c r="H4021" s="26" t="s">
        <v>1582</v>
      </c>
      <c r="I4021" s="40">
        <f>I4020</f>
        <v>287</v>
      </c>
      <c r="J4021" s="38" t="s">
        <v>488</v>
      </c>
      <c r="K4021" s="40">
        <f t="shared" si="352"/>
        <v>246.82</v>
      </c>
    </row>
    <row r="4022" spans="6:11" ht="24" customHeight="1">
      <c r="F4022" s="76">
        <v>1.42</v>
      </c>
      <c r="G4022" s="38" t="s">
        <v>480</v>
      </c>
      <c r="H4022" s="26" t="s">
        <v>1588</v>
      </c>
      <c r="I4022" s="40">
        <f t="shared" ref="I4022:I4027" si="353">I4007</f>
        <v>208.8</v>
      </c>
      <c r="J4022" s="38" t="s">
        <v>480</v>
      </c>
      <c r="K4022" s="40">
        <f t="shared" si="352"/>
        <v>296.49599999999998</v>
      </c>
    </row>
    <row r="4023" spans="6:11" ht="24" customHeight="1">
      <c r="F4023" s="76">
        <v>6.9</v>
      </c>
      <c r="G4023" s="38" t="s">
        <v>1125</v>
      </c>
      <c r="H4023" s="26" t="s">
        <v>1591</v>
      </c>
      <c r="I4023" s="40">
        <f t="shared" si="353"/>
        <v>28.6</v>
      </c>
      <c r="J4023" s="38" t="s">
        <v>1125</v>
      </c>
      <c r="K4023" s="40">
        <f t="shared" si="352"/>
        <v>197.34000000000003</v>
      </c>
    </row>
    <row r="4024" spans="6:11" ht="24" customHeight="1">
      <c r="F4024" s="76">
        <v>2</v>
      </c>
      <c r="G4024" s="38" t="s">
        <v>196</v>
      </c>
      <c r="H4024" s="26" t="s">
        <v>2899</v>
      </c>
      <c r="I4024" s="40">
        <f t="shared" si="353"/>
        <v>350</v>
      </c>
      <c r="J4024" s="38" t="s">
        <v>196</v>
      </c>
      <c r="K4024" s="40">
        <f t="shared" si="352"/>
        <v>700</v>
      </c>
    </row>
    <row r="4025" spans="6:11" ht="24" customHeight="1">
      <c r="F4025" s="76">
        <v>2</v>
      </c>
      <c r="G4025" s="38" t="s">
        <v>196</v>
      </c>
      <c r="H4025" s="26" t="s">
        <v>1595</v>
      </c>
      <c r="I4025" s="40">
        <f t="shared" si="353"/>
        <v>50.9</v>
      </c>
      <c r="J4025" s="38" t="s">
        <v>196</v>
      </c>
      <c r="K4025" s="40">
        <f t="shared" si="352"/>
        <v>101.8</v>
      </c>
    </row>
    <row r="4026" spans="6:11" ht="24" customHeight="1">
      <c r="F4026" s="76">
        <v>4</v>
      </c>
      <c r="G4026" s="38" t="s">
        <v>196</v>
      </c>
      <c r="H4026" s="26" t="s">
        <v>1601</v>
      </c>
      <c r="I4026" s="40">
        <f t="shared" si="353"/>
        <v>15</v>
      </c>
      <c r="J4026" s="38" t="s">
        <v>196</v>
      </c>
      <c r="K4026" s="40">
        <f>I4026*F4026</f>
        <v>60</v>
      </c>
    </row>
    <row r="4027" spans="6:11" ht="24" customHeight="1">
      <c r="F4027" s="76">
        <v>1.42</v>
      </c>
      <c r="G4027" s="38" t="s">
        <v>788</v>
      </c>
      <c r="H4027" s="26" t="s">
        <v>1602</v>
      </c>
      <c r="I4027" s="40">
        <f t="shared" si="353"/>
        <v>2156</v>
      </c>
      <c r="J4027" s="38" t="s">
        <v>788</v>
      </c>
      <c r="K4027" s="40">
        <f>I4027*F4027</f>
        <v>3061.52</v>
      </c>
    </row>
    <row r="4028" spans="6:11" ht="24" customHeight="1">
      <c r="F4028" s="32"/>
      <c r="H4028" s="26" t="s">
        <v>1604</v>
      </c>
      <c r="J4028" s="33"/>
      <c r="K4028" s="40"/>
    </row>
    <row r="4029" spans="6:11" ht="24" customHeight="1">
      <c r="F4029" s="32"/>
      <c r="G4029" s="28"/>
      <c r="H4029" s="37" t="s">
        <v>1606</v>
      </c>
      <c r="J4029" s="28"/>
      <c r="K4029" s="40">
        <f>SUM(K4018:K4028)</f>
        <v>7381.866</v>
      </c>
    </row>
    <row r="4030" spans="6:11" ht="24" customHeight="1">
      <c r="F4030" s="32"/>
      <c r="G4030" s="28"/>
      <c r="H4030" s="138" t="s">
        <v>2901</v>
      </c>
      <c r="J4030" s="28"/>
      <c r="K4030" s="41">
        <f>K4029/F4027</f>
        <v>5198.4971830985914</v>
      </c>
    </row>
    <row r="4031" spans="6:11" ht="24" customHeight="1">
      <c r="F4031" s="32"/>
      <c r="G4031" s="28"/>
      <c r="J4031" s="28"/>
      <c r="K4031" s="39"/>
    </row>
    <row r="4032" spans="6:11" ht="24" customHeight="1">
      <c r="F4032" s="32"/>
      <c r="G4032" s="28"/>
      <c r="H4032" s="184" t="s">
        <v>2903</v>
      </c>
    </row>
    <row r="4033" spans="6:13" ht="24" customHeight="1">
      <c r="F4033" s="225">
        <v>11.61</v>
      </c>
      <c r="G4033" s="226" t="s">
        <v>488</v>
      </c>
      <c r="H4033" s="229" t="s">
        <v>1582</v>
      </c>
      <c r="I4033" s="228">
        <f>I4018</f>
        <v>287</v>
      </c>
      <c r="J4033" s="226" t="s">
        <v>488</v>
      </c>
      <c r="K4033" s="228">
        <f>I4033*F4033</f>
        <v>3332.0699999999997</v>
      </c>
    </row>
    <row r="4034" spans="6:13" ht="24" customHeight="1">
      <c r="F4034" s="225">
        <v>7.8</v>
      </c>
      <c r="G4034" s="226" t="s">
        <v>1125</v>
      </c>
      <c r="H4034" s="229" t="s">
        <v>1692</v>
      </c>
      <c r="I4034" s="228">
        <f>I4023</f>
        <v>28.6</v>
      </c>
      <c r="J4034" s="226" t="s">
        <v>1125</v>
      </c>
      <c r="K4034" s="228">
        <f t="shared" ref="K4034:K4039" si="354">I4034*F4034</f>
        <v>223.08</v>
      </c>
    </row>
    <row r="4035" spans="6:13" ht="24" customHeight="1">
      <c r="F4035" s="225">
        <v>1.62</v>
      </c>
      <c r="G4035" s="226" t="s">
        <v>480</v>
      </c>
      <c r="H4035" s="229" t="s">
        <v>1691</v>
      </c>
      <c r="I4035" s="228">
        <f>I4022</f>
        <v>208.8</v>
      </c>
      <c r="J4035" s="226" t="s">
        <v>480</v>
      </c>
      <c r="K4035" s="228">
        <f t="shared" si="354"/>
        <v>338.25600000000003</v>
      </c>
    </row>
    <row r="4036" spans="6:13" ht="24" customHeight="1">
      <c r="F4036" s="225">
        <v>2</v>
      </c>
      <c r="G4036" s="226" t="s">
        <v>196</v>
      </c>
      <c r="H4036" s="229" t="s">
        <v>1695</v>
      </c>
      <c r="I4036" s="228">
        <f>I4025</f>
        <v>50.9</v>
      </c>
      <c r="J4036" s="226" t="s">
        <v>196</v>
      </c>
      <c r="K4036" s="228">
        <f t="shared" si="354"/>
        <v>101.8</v>
      </c>
    </row>
    <row r="4037" spans="6:13" ht="24" customHeight="1">
      <c r="F4037" s="225">
        <v>2</v>
      </c>
      <c r="G4037" s="226" t="s">
        <v>196</v>
      </c>
      <c r="H4037" s="229" t="s">
        <v>2904</v>
      </c>
      <c r="I4037" s="228">
        <f>I4024</f>
        <v>350</v>
      </c>
      <c r="J4037" s="226" t="s">
        <v>196</v>
      </c>
      <c r="K4037" s="228">
        <f t="shared" si="354"/>
        <v>700</v>
      </c>
    </row>
    <row r="4038" spans="6:13" ht="24" customHeight="1">
      <c r="F4038" s="225">
        <v>4</v>
      </c>
      <c r="G4038" s="226" t="s">
        <v>196</v>
      </c>
      <c r="H4038" s="229" t="s">
        <v>1696</v>
      </c>
      <c r="I4038" s="228">
        <f>I4026</f>
        <v>15</v>
      </c>
      <c r="J4038" s="226" t="s">
        <v>196</v>
      </c>
      <c r="K4038" s="228">
        <f t="shared" si="354"/>
        <v>60</v>
      </c>
    </row>
    <row r="4039" spans="6:13" ht="24" customHeight="1">
      <c r="F4039" s="225">
        <v>1.62</v>
      </c>
      <c r="G4039" s="226" t="s">
        <v>788</v>
      </c>
      <c r="H4039" s="229" t="s">
        <v>1697</v>
      </c>
      <c r="I4039" s="228">
        <f>I4027</f>
        <v>2156</v>
      </c>
      <c r="J4039" s="226" t="s">
        <v>788</v>
      </c>
      <c r="K4039" s="228">
        <f t="shared" si="354"/>
        <v>3492.7200000000003</v>
      </c>
    </row>
    <row r="4040" spans="6:13" ht="24" customHeight="1">
      <c r="F4040" s="223"/>
      <c r="G4040" s="231"/>
      <c r="H4040" s="229" t="s">
        <v>1236</v>
      </c>
      <c r="I4040" s="223"/>
      <c r="J4040" s="230"/>
      <c r="K4040" s="228"/>
    </row>
    <row r="4041" spans="6:13" ht="24" customHeight="1">
      <c r="F4041" s="223"/>
      <c r="G4041" s="223"/>
      <c r="H4041" s="37" t="s">
        <v>1606</v>
      </c>
      <c r="J4041" s="28"/>
      <c r="K4041" s="40">
        <f>SUM(K4033:K4040)</f>
        <v>8247.9259999999995</v>
      </c>
    </row>
    <row r="4042" spans="6:13" ht="24" customHeight="1">
      <c r="F4042" s="32"/>
      <c r="G4042" s="28"/>
      <c r="H4042" s="138" t="s">
        <v>2901</v>
      </c>
      <c r="J4042" s="28"/>
      <c r="K4042" s="41">
        <f>K4041/F4039</f>
        <v>5091.3123456790117</v>
      </c>
    </row>
    <row r="4043" spans="6:13" ht="24" customHeight="1">
      <c r="F4043" s="32"/>
      <c r="G4043" s="28"/>
      <c r="J4043" s="28"/>
    </row>
    <row r="4045" spans="6:13" ht="24" customHeight="1">
      <c r="F4045" s="356"/>
      <c r="G4045" s="357"/>
      <c r="H4045" s="214" t="s">
        <v>2905</v>
      </c>
      <c r="I4045" s="356"/>
      <c r="J4045" s="359"/>
      <c r="K4045" s="356"/>
      <c r="L4045" s="32"/>
      <c r="M4045" s="32"/>
    </row>
    <row r="4046" spans="6:13" ht="24" customHeight="1">
      <c r="F4046" s="356"/>
      <c r="G4046" s="357"/>
      <c r="H4046" s="442" t="s">
        <v>2906</v>
      </c>
      <c r="I4046" s="356"/>
      <c r="J4046" s="359"/>
      <c r="K4046" s="356"/>
      <c r="L4046" s="32"/>
      <c r="M4046" s="32"/>
    </row>
    <row r="4047" spans="6:13" ht="24" customHeight="1">
      <c r="F4047" s="356"/>
      <c r="G4047" s="357"/>
      <c r="H4047" s="364" t="s">
        <v>48</v>
      </c>
      <c r="I4047" s="356"/>
      <c r="J4047" s="359"/>
      <c r="K4047" s="356"/>
      <c r="L4047" s="32"/>
      <c r="M4047" s="32"/>
    </row>
    <row r="4048" spans="6:13" ht="24" customHeight="1">
      <c r="F4048" s="356"/>
      <c r="G4048" s="357"/>
      <c r="H4048" s="370" t="s">
        <v>2907</v>
      </c>
      <c r="J4048" s="28"/>
      <c r="L4048" s="32"/>
      <c r="M4048" s="32"/>
    </row>
    <row r="4049" spans="6:13" ht="33.950000000000003" customHeight="1">
      <c r="F4049" s="356"/>
      <c r="G4049" s="357"/>
      <c r="H4049" s="410" t="s">
        <v>2908</v>
      </c>
      <c r="I4049" s="489"/>
      <c r="J4049" s="444">
        <f>3*2*1.9*0.075*0.0375</f>
        <v>3.2062499999999994E-2</v>
      </c>
      <c r="K4049" s="356" t="s">
        <v>249</v>
      </c>
      <c r="L4049" s="32"/>
      <c r="M4049" s="32"/>
    </row>
    <row r="4050" spans="6:13" ht="33.950000000000003" customHeight="1">
      <c r="F4050" s="356"/>
      <c r="G4050" s="357"/>
      <c r="H4050" s="214" t="s">
        <v>2909</v>
      </c>
      <c r="I4050" s="489"/>
      <c r="J4050" s="444">
        <f>3*2*0.5*0.075*0.0375</f>
        <v>8.4374999999999988E-3</v>
      </c>
      <c r="K4050" s="356" t="s">
        <v>249</v>
      </c>
      <c r="L4050" s="32"/>
      <c r="M4050" s="32"/>
    </row>
    <row r="4051" spans="6:13" ht="24" customHeight="1">
      <c r="F4051" s="356"/>
      <c r="G4051" s="357"/>
      <c r="H4051" s="214"/>
      <c r="I4051" s="360"/>
      <c r="J4051" s="364" t="s">
        <v>48</v>
      </c>
      <c r="K4051" s="388"/>
      <c r="L4051" s="32"/>
      <c r="M4051" s="32"/>
    </row>
    <row r="4052" spans="6:13" ht="24" customHeight="1">
      <c r="F4052" s="356"/>
      <c r="G4052" s="357"/>
      <c r="H4052" s="356"/>
      <c r="I4052" s="356"/>
      <c r="J4052" s="527">
        <f>SUM(J4049:J4051)</f>
        <v>4.0499999999999994E-2</v>
      </c>
      <c r="K4052" s="28" t="s">
        <v>249</v>
      </c>
      <c r="L4052" s="32"/>
      <c r="M4052" s="32"/>
    </row>
    <row r="4053" spans="6:13" ht="24" customHeight="1">
      <c r="F4053" s="356"/>
      <c r="G4053" s="357"/>
      <c r="H4053" s="356"/>
      <c r="I4053" s="356"/>
      <c r="J4053" s="364" t="s">
        <v>48</v>
      </c>
      <c r="L4053" s="32"/>
      <c r="M4053" s="32"/>
    </row>
    <row r="4054" spans="6:13" ht="24" customHeight="1">
      <c r="F4054" s="356"/>
      <c r="G4054" s="357"/>
      <c r="H4054" s="214" t="s">
        <v>1324</v>
      </c>
      <c r="I4054" s="489"/>
      <c r="J4054" s="489"/>
      <c r="K4054" s="489"/>
      <c r="L4054" s="32"/>
      <c r="M4054" s="32"/>
    </row>
    <row r="4055" spans="6:13" ht="24" customHeight="1">
      <c r="F4055" s="356"/>
      <c r="G4055" s="357"/>
      <c r="H4055" s="214" t="s">
        <v>2910</v>
      </c>
      <c r="I4055" s="446"/>
      <c r="J4055" s="443">
        <f>3*1.9*0.5</f>
        <v>2.8499999999999996</v>
      </c>
      <c r="K4055" s="38" t="s">
        <v>438</v>
      </c>
      <c r="L4055" s="32"/>
      <c r="M4055" s="32"/>
    </row>
    <row r="4056" spans="6:13" ht="24" customHeight="1">
      <c r="F4056" s="356"/>
      <c r="G4056" s="357"/>
      <c r="H4056" s="214"/>
      <c r="I4056" s="446"/>
      <c r="J4056" s="443"/>
      <c r="K4056" s="388"/>
      <c r="L4056" s="32"/>
      <c r="M4056" s="32"/>
    </row>
    <row r="4057" spans="6:13" ht="33.950000000000003" customHeight="1">
      <c r="F4057" s="356"/>
      <c r="G4057" s="357"/>
      <c r="H4057" s="214" t="s">
        <v>2911</v>
      </c>
      <c r="I4057" s="446"/>
      <c r="J4057" s="443"/>
      <c r="K4057" s="388"/>
      <c r="L4057" s="32"/>
      <c r="M4057" s="32"/>
    </row>
    <row r="4058" spans="6:13" ht="33.950000000000003" customHeight="1">
      <c r="F4058" s="356"/>
      <c r="G4058" s="357"/>
      <c r="H4058" s="214" t="s">
        <v>2912</v>
      </c>
      <c r="I4058" s="446"/>
      <c r="J4058" s="444">
        <f>3*1.775*0.375</f>
        <v>1.9968749999999997</v>
      </c>
      <c r="K4058" s="388" t="str">
        <f>K4055</f>
        <v>SQM</v>
      </c>
      <c r="L4058" s="32"/>
      <c r="M4058" s="32"/>
    </row>
    <row r="4059" spans="6:13" ht="33.950000000000003" customHeight="1">
      <c r="F4059" s="356"/>
      <c r="G4059" s="357"/>
      <c r="H4059" s="214" t="s">
        <v>2913</v>
      </c>
      <c r="I4059" s="356"/>
      <c r="J4059" s="450"/>
      <c r="K4059" s="410"/>
      <c r="L4059" s="32"/>
      <c r="M4059" s="32"/>
    </row>
    <row r="4060" spans="6:13" ht="33.950000000000003" customHeight="1">
      <c r="F4060" s="411"/>
      <c r="G4060" s="357"/>
      <c r="H4060" s="214" t="s">
        <v>2914</v>
      </c>
      <c r="I4060" s="446"/>
      <c r="J4060" s="528">
        <f>1.775+0.375</f>
        <v>2.15</v>
      </c>
      <c r="K4060" s="388"/>
      <c r="L4060" s="212"/>
      <c r="M4060" s="32"/>
    </row>
    <row r="4061" spans="6:13" ht="33.950000000000003" customHeight="1">
      <c r="F4061" s="411"/>
      <c r="G4061" s="357"/>
      <c r="H4061" s="356"/>
      <c r="I4061" s="529"/>
      <c r="J4061" s="417">
        <f>J4060*6</f>
        <v>12.899999999999999</v>
      </c>
      <c r="K4061" s="212" t="s">
        <v>1125</v>
      </c>
      <c r="L4061" s="212"/>
      <c r="M4061" s="32"/>
    </row>
    <row r="4062" spans="6:13" ht="33.950000000000003" customHeight="1">
      <c r="F4062" s="411"/>
      <c r="G4062" s="357"/>
      <c r="H4062" s="530" t="s">
        <v>2915</v>
      </c>
      <c r="I4062" s="529"/>
      <c r="J4062" s="215"/>
      <c r="K4062" s="212"/>
      <c r="L4062" s="212"/>
      <c r="M4062" s="32"/>
    </row>
    <row r="4063" spans="6:13" ht="33.950000000000003" customHeight="1">
      <c r="F4063" s="404"/>
      <c r="G4063" s="357"/>
      <c r="H4063" s="370" t="s">
        <v>2916</v>
      </c>
      <c r="I4063" s="489"/>
      <c r="J4063" s="212"/>
      <c r="K4063" s="359"/>
      <c r="L4063" s="212"/>
      <c r="M4063" s="32"/>
    </row>
    <row r="4064" spans="6:13" ht="33.950000000000003" customHeight="1">
      <c r="F4064" s="388">
        <f>J4052</f>
        <v>4.0499999999999994E-2</v>
      </c>
      <c r="G4064" s="214" t="s">
        <v>93</v>
      </c>
      <c r="H4064" s="214" t="s">
        <v>2917</v>
      </c>
      <c r="I4064" s="212">
        <f>V3114</f>
        <v>99400</v>
      </c>
      <c r="J4064" s="215" t="s">
        <v>93</v>
      </c>
      <c r="K4064" s="212">
        <f>(F4064*I4064)</f>
        <v>4025.6999999999994</v>
      </c>
      <c r="L4064" s="212"/>
      <c r="M4064" s="32"/>
    </row>
    <row r="4065" spans="6:13" ht="33.950000000000003" customHeight="1">
      <c r="F4065" s="388">
        <f>J4055</f>
        <v>2.8499999999999996</v>
      </c>
      <c r="G4065" s="38" t="s">
        <v>438</v>
      </c>
      <c r="H4065" s="214" t="s">
        <v>1324</v>
      </c>
      <c r="I4065" s="212">
        <f>V3116</f>
        <v>1509.1999999999998</v>
      </c>
      <c r="J4065" s="38" t="s">
        <v>438</v>
      </c>
      <c r="K4065" s="212">
        <f>(F4065*I4065)</f>
        <v>4301.2199999999993</v>
      </c>
      <c r="L4065" s="212"/>
      <c r="M4065" s="32"/>
    </row>
    <row r="4066" spans="6:13" ht="33.950000000000003" customHeight="1">
      <c r="F4066" s="388">
        <f>J4058</f>
        <v>1.9968749999999997</v>
      </c>
      <c r="G4066" s="38" t="s">
        <v>438</v>
      </c>
      <c r="H4066" s="214" t="s">
        <v>2911</v>
      </c>
      <c r="I4066" s="212">
        <f>V3115</f>
        <v>208.8</v>
      </c>
      <c r="J4066" s="38" t="s">
        <v>438</v>
      </c>
      <c r="K4066" s="212">
        <f t="shared" ref="K4066:K4072" si="355">(F4066*I4066)</f>
        <v>416.94749999999999</v>
      </c>
      <c r="L4066" s="212"/>
      <c r="M4066" s="32"/>
    </row>
    <row r="4067" spans="6:13" ht="33.950000000000003" customHeight="1">
      <c r="F4067" s="212">
        <f>J4061</f>
        <v>12.899999999999999</v>
      </c>
      <c r="G4067" s="212" t="s">
        <v>1125</v>
      </c>
      <c r="H4067" s="370" t="s">
        <v>2918</v>
      </c>
      <c r="I4067" s="212">
        <f t="shared" ref="I4067:I4072" si="356">V3117</f>
        <v>45.7</v>
      </c>
      <c r="J4067" s="212" t="s">
        <v>1125</v>
      </c>
      <c r="K4067" s="212">
        <f t="shared" si="355"/>
        <v>589.53</v>
      </c>
      <c r="L4067" s="212"/>
      <c r="M4067" s="32"/>
    </row>
    <row r="4068" spans="6:13" ht="33.950000000000003" customHeight="1">
      <c r="F4068" s="212">
        <v>9</v>
      </c>
      <c r="G4068" s="38" t="s">
        <v>105</v>
      </c>
      <c r="H4068" s="26" t="s">
        <v>1350</v>
      </c>
      <c r="I4068" s="212">
        <f t="shared" si="356"/>
        <v>79.099999999999994</v>
      </c>
      <c r="J4068" s="26" t="s">
        <v>105</v>
      </c>
      <c r="K4068" s="212">
        <f t="shared" si="355"/>
        <v>711.9</v>
      </c>
      <c r="L4068" s="212"/>
      <c r="M4068" s="32"/>
    </row>
    <row r="4069" spans="6:13" ht="33.950000000000003" customHeight="1">
      <c r="F4069" s="212">
        <v>6</v>
      </c>
      <c r="G4069" s="38" t="s">
        <v>105</v>
      </c>
      <c r="H4069" s="26" t="s">
        <v>2504</v>
      </c>
      <c r="I4069" s="212">
        <f t="shared" si="356"/>
        <v>68.5</v>
      </c>
      <c r="J4069" s="26" t="s">
        <v>105</v>
      </c>
      <c r="K4069" s="212">
        <f t="shared" si="355"/>
        <v>411</v>
      </c>
      <c r="L4069" s="212"/>
      <c r="M4069" s="32"/>
    </row>
    <row r="4070" spans="6:13" ht="33.950000000000003" customHeight="1">
      <c r="F4070" s="212">
        <v>3</v>
      </c>
      <c r="G4070" s="38" t="s">
        <v>105</v>
      </c>
      <c r="H4070" s="26" t="s">
        <v>2507</v>
      </c>
      <c r="I4070" s="212">
        <f t="shared" si="356"/>
        <v>50.9</v>
      </c>
      <c r="J4070" s="26" t="s">
        <v>105</v>
      </c>
      <c r="K4070" s="212">
        <f t="shared" si="355"/>
        <v>152.69999999999999</v>
      </c>
      <c r="L4070" s="212"/>
      <c r="M4070" s="32"/>
    </row>
    <row r="4071" spans="6:13" ht="33.950000000000003" customHeight="1">
      <c r="F4071" s="212">
        <v>3</v>
      </c>
      <c r="G4071" s="38" t="s">
        <v>105</v>
      </c>
      <c r="H4071" s="26" t="s">
        <v>461</v>
      </c>
      <c r="I4071" s="212">
        <f t="shared" si="356"/>
        <v>7.3</v>
      </c>
      <c r="J4071" s="26" t="s">
        <v>105</v>
      </c>
      <c r="K4071" s="212">
        <f t="shared" si="355"/>
        <v>21.9</v>
      </c>
      <c r="L4071" s="212"/>
      <c r="M4071" s="32"/>
    </row>
    <row r="4072" spans="6:13" ht="33.950000000000003" customHeight="1">
      <c r="F4072" s="212">
        <v>120</v>
      </c>
      <c r="G4072" s="38" t="s">
        <v>105</v>
      </c>
      <c r="H4072" s="26" t="s">
        <v>2919</v>
      </c>
      <c r="I4072" s="212">
        <f t="shared" si="356"/>
        <v>2.37</v>
      </c>
      <c r="J4072" s="26" t="s">
        <v>105</v>
      </c>
      <c r="K4072" s="212">
        <f t="shared" si="355"/>
        <v>284.40000000000003</v>
      </c>
      <c r="L4072" s="212"/>
      <c r="M4072" s="32"/>
    </row>
    <row r="4073" spans="6:13" ht="33.950000000000003" customHeight="1">
      <c r="F4073" s="212"/>
      <c r="G4073" s="363"/>
      <c r="H4073" s="214"/>
      <c r="I4073" s="489"/>
      <c r="J4073" s="212"/>
      <c r="K4073" s="364" t="s">
        <v>48</v>
      </c>
      <c r="L4073" s="212"/>
      <c r="M4073" s="32"/>
    </row>
    <row r="4074" spans="6:13" ht="33.950000000000003" customHeight="1">
      <c r="F4074" s="356"/>
      <c r="G4074" s="357"/>
      <c r="H4074" s="214" t="s">
        <v>2920</v>
      </c>
      <c r="I4074" s="489"/>
      <c r="J4074" s="215"/>
      <c r="K4074" s="360">
        <f>SUM(K4064:K4073)</f>
        <v>10915.297499999999</v>
      </c>
      <c r="L4074" s="463"/>
      <c r="M4074" s="32"/>
    </row>
    <row r="4075" spans="6:13" ht="33.950000000000003" customHeight="1">
      <c r="F4075" s="356"/>
      <c r="G4075" s="357"/>
      <c r="H4075" s="489"/>
      <c r="I4075" s="212"/>
      <c r="J4075" s="359"/>
      <c r="K4075" s="364" t="s">
        <v>48</v>
      </c>
      <c r="L4075" s="489"/>
      <c r="M4075" s="32"/>
    </row>
    <row r="4076" spans="6:13" ht="33.950000000000003" customHeight="1">
      <c r="F4076" s="356"/>
      <c r="G4076" s="357"/>
      <c r="H4076" s="360" t="s">
        <v>2829</v>
      </c>
      <c r="I4076" s="212"/>
      <c r="J4076" s="359"/>
      <c r="K4076" s="495">
        <f>K4074/F4065</f>
        <v>3829.9289473684212</v>
      </c>
      <c r="L4076" s="212">
        <f>SUM(L4060:L4075)</f>
        <v>0</v>
      </c>
      <c r="M4076" s="32"/>
    </row>
    <row r="4077" spans="6:13" ht="33.950000000000003" customHeight="1">
      <c r="F4077" s="356"/>
      <c r="G4077" s="357"/>
      <c r="H4077" s="356"/>
      <c r="I4077" s="212"/>
      <c r="J4077" s="359"/>
      <c r="K4077" s="489"/>
      <c r="L4077" s="489"/>
      <c r="M4077" s="32"/>
    </row>
    <row r="4078" spans="6:13" ht="24" customHeight="1">
      <c r="F4078" s="356"/>
      <c r="G4078" s="357"/>
      <c r="H4078" s="370"/>
      <c r="I4078" s="356"/>
      <c r="J4078" s="710"/>
      <c r="K4078" s="710"/>
      <c r="L4078" s="710"/>
      <c r="M4078" s="710"/>
    </row>
    <row r="4079" spans="6:13" ht="24" customHeight="1">
      <c r="G4079" s="28"/>
      <c r="J4079" s="28"/>
      <c r="L4079" s="32"/>
      <c r="M4079" s="32"/>
    </row>
  </sheetData>
  <mergeCells count="26">
    <mergeCell ref="U2:X2"/>
    <mergeCell ref="X6:Y6"/>
    <mergeCell ref="AA6:AB6"/>
    <mergeCell ref="H108:K108"/>
    <mergeCell ref="AC550:AD550"/>
    <mergeCell ref="H3636:J3637"/>
    <mergeCell ref="N1531:R1531"/>
    <mergeCell ref="O2343:Q2343"/>
    <mergeCell ref="O2353:Q2353"/>
    <mergeCell ref="H2420:K2420"/>
    <mergeCell ref="H2422:H2423"/>
    <mergeCell ref="O2427:R2427"/>
    <mergeCell ref="O2429:O2430"/>
    <mergeCell ref="I3492:J3492"/>
    <mergeCell ref="P1474:R1474"/>
    <mergeCell ref="S1474:U1474"/>
    <mergeCell ref="AF2601:AI2601"/>
    <mergeCell ref="I3046:J3046"/>
    <mergeCell ref="S3148:T3148"/>
    <mergeCell ref="J4078:M4078"/>
    <mergeCell ref="S3680:V3680"/>
    <mergeCell ref="F3711:M3711"/>
    <mergeCell ref="M3712:M3719"/>
    <mergeCell ref="M3721:M3726"/>
    <mergeCell ref="F3985:H3985"/>
    <mergeCell ref="H4002:K4002"/>
  </mergeCells>
  <hyperlinks>
    <hyperlink ref="C270" r:id="rId1" display="G:\2273"/>
    <hyperlink ref="J270" r:id="rId2" display="G:\2273"/>
  </hyperlinks>
  <printOptions horizontalCentered="1"/>
  <pageMargins left="0.25" right="0.25" top="0.75" bottom="0.75" header="0.3" footer="0.3"/>
  <pageSetup paperSize="9" scale="58" orientation="landscape" r:id="rId3"/>
  <headerFooter alignWithMargins="0">
    <oddHeader>&amp;L&amp;CPWD Data 2020-21 &amp;R&amp;P</oddHeader>
  </headerFooter>
  <rowBreaks count="2" manualBreakCount="2">
    <brk id="31" min="19" max="32" man="1"/>
    <brk id="1978" min="5" max="10" man="1"/>
  </rowBreaks>
  <colBreaks count="1" manualBreakCount="1">
    <brk id="4" max="1048575" man="1"/>
  </colBreaks>
  <drawing r:id="rId4"/>
</worksheet>
</file>

<file path=xl/worksheets/sheet3.xml><?xml version="1.0" encoding="utf-8"?>
<worksheet xmlns="http://schemas.openxmlformats.org/spreadsheetml/2006/main" xmlns:r="http://schemas.openxmlformats.org/officeDocument/2006/relationships">
  <dimension ref="A1:N380"/>
  <sheetViews>
    <sheetView view="pageBreakPreview" topLeftCell="A7" zoomScaleSheetLayoutView="100" workbookViewId="0">
      <selection activeCell="K13" sqref="K13"/>
    </sheetView>
  </sheetViews>
  <sheetFormatPr defaultColWidth="9.140625" defaultRowHeight="18.75"/>
  <cols>
    <col min="1" max="1" width="10" style="677" customWidth="1"/>
    <col min="2" max="2" width="38.7109375" style="531" customWidth="1"/>
    <col min="3" max="4" width="6.85546875" style="599" customWidth="1"/>
    <col min="5" max="5" width="14.85546875" style="559" customWidth="1"/>
    <col min="6" max="6" width="9" style="557" customWidth="1"/>
    <col min="7" max="7" width="15.85546875" style="559" customWidth="1"/>
    <col min="8" max="8" width="12.7109375" style="560" customWidth="1"/>
    <col min="9" max="9" width="8.7109375" style="589" customWidth="1"/>
    <col min="10" max="11" width="9.140625" style="531"/>
    <col min="12" max="12" width="9.7109375" style="531" bestFit="1" customWidth="1"/>
    <col min="13" max="20" width="9.140625" style="531"/>
    <col min="21" max="21" width="9.7109375" style="531" bestFit="1" customWidth="1"/>
    <col min="22" max="16384" width="9.140625" style="531"/>
  </cols>
  <sheetData>
    <row r="1" spans="1:14" ht="15" customHeight="1">
      <c r="A1" s="732" t="s">
        <v>2953</v>
      </c>
      <c r="B1" s="733"/>
      <c r="C1" s="733"/>
      <c r="D1" s="733"/>
      <c r="E1" s="733"/>
      <c r="F1" s="733"/>
      <c r="G1" s="733"/>
      <c r="H1" s="733"/>
      <c r="I1" s="734"/>
    </row>
    <row r="2" spans="1:14" ht="43.5" customHeight="1">
      <c r="A2" s="735"/>
      <c r="B2" s="736"/>
      <c r="C2" s="736"/>
      <c r="D2" s="736"/>
      <c r="E2" s="736"/>
      <c r="F2" s="736"/>
      <c r="G2" s="736"/>
      <c r="H2" s="736"/>
      <c r="I2" s="737"/>
    </row>
    <row r="3" spans="1:14" ht="26.25" customHeight="1">
      <c r="A3" s="738" t="s">
        <v>2921</v>
      </c>
      <c r="B3" s="739"/>
      <c r="C3" s="739"/>
      <c r="D3" s="739"/>
      <c r="E3" s="739"/>
      <c r="F3" s="739"/>
      <c r="G3" s="739"/>
      <c r="H3" s="739"/>
      <c r="I3" s="740"/>
    </row>
    <row r="4" spans="1:14" ht="34.5" customHeight="1">
      <c r="A4" s="532" t="s">
        <v>2922</v>
      </c>
      <c r="B4" s="532" t="s">
        <v>2923</v>
      </c>
      <c r="C4" s="741" t="s">
        <v>196</v>
      </c>
      <c r="D4" s="741"/>
      <c r="E4" s="532" t="s">
        <v>2924</v>
      </c>
      <c r="F4" s="533" t="s">
        <v>668</v>
      </c>
      <c r="G4" s="532" t="s">
        <v>2925</v>
      </c>
      <c r="H4" s="534" t="s">
        <v>51</v>
      </c>
      <c r="I4" s="532" t="s">
        <v>2793</v>
      </c>
    </row>
    <row r="5" spans="1:14" ht="42.6" customHeight="1">
      <c r="A5" s="532">
        <v>1</v>
      </c>
      <c r="B5" s="582" t="s">
        <v>2933</v>
      </c>
      <c r="C5" s="594"/>
      <c r="D5" s="595"/>
      <c r="E5" s="535"/>
      <c r="F5" s="535"/>
      <c r="G5" s="535"/>
      <c r="H5" s="536"/>
      <c r="I5" s="585"/>
    </row>
    <row r="6" spans="1:14" ht="20.25" customHeight="1">
      <c r="A6" s="532"/>
      <c r="B6" s="583" t="s">
        <v>3072</v>
      </c>
      <c r="C6" s="594">
        <v>1</v>
      </c>
      <c r="D6" s="595">
        <v>1</v>
      </c>
      <c r="E6" s="535">
        <v>2.8</v>
      </c>
      <c r="F6" s="535">
        <v>0.23</v>
      </c>
      <c r="G6" s="584">
        <v>1.3</v>
      </c>
      <c r="H6" s="538">
        <f>PRODUCT(E6:G6)</f>
        <v>0.83720000000000006</v>
      </c>
      <c r="I6" s="585"/>
      <c r="L6" s="531">
        <f>0.9+0.5</f>
        <v>1.4</v>
      </c>
    </row>
    <row r="7" spans="1:14" ht="20.25" customHeight="1">
      <c r="A7" s="532"/>
      <c r="B7" s="583"/>
      <c r="C7" s="594"/>
      <c r="D7" s="595"/>
      <c r="E7" s="535"/>
      <c r="F7" s="535"/>
      <c r="G7" s="584" t="s">
        <v>3074</v>
      </c>
      <c r="H7" s="538">
        <v>0.85</v>
      </c>
      <c r="I7" s="585" t="s">
        <v>3075</v>
      </c>
    </row>
    <row r="8" spans="1:14" ht="81.75" customHeight="1">
      <c r="A8" s="532">
        <v>2</v>
      </c>
      <c r="B8" s="619" t="s">
        <v>3020</v>
      </c>
      <c r="C8" s="595"/>
      <c r="D8" s="595"/>
      <c r="E8" s="535"/>
      <c r="F8" s="535"/>
      <c r="G8" s="535"/>
      <c r="H8" s="555"/>
      <c r="I8" s="585"/>
    </row>
    <row r="9" spans="1:14" ht="37.5">
      <c r="A9" s="532"/>
      <c r="B9" s="638" t="s">
        <v>3022</v>
      </c>
      <c r="C9" s="595">
        <v>1</v>
      </c>
      <c r="D9" s="595">
        <v>1</v>
      </c>
      <c r="E9" s="535">
        <v>30.15</v>
      </c>
      <c r="F9" s="535">
        <v>8.5</v>
      </c>
      <c r="G9" s="535" t="s">
        <v>48</v>
      </c>
      <c r="H9" s="555">
        <f t="shared" ref="H9:H10" si="0">PRODUCT(C9:G9)</f>
        <v>256.27499999999998</v>
      </c>
      <c r="I9" s="585"/>
    </row>
    <row r="10" spans="1:14" ht="37.5">
      <c r="A10" s="532"/>
      <c r="B10" s="638" t="s">
        <v>3073</v>
      </c>
      <c r="C10" s="595">
        <v>1</v>
      </c>
      <c r="D10" s="595">
        <v>1</v>
      </c>
      <c r="E10" s="535">
        <v>15.35</v>
      </c>
      <c r="F10" s="535">
        <v>4.5999999999999996</v>
      </c>
      <c r="G10" s="535" t="s">
        <v>48</v>
      </c>
      <c r="H10" s="555">
        <f t="shared" si="0"/>
        <v>70.61</v>
      </c>
      <c r="I10" s="585"/>
    </row>
    <row r="11" spans="1:14">
      <c r="A11" s="532"/>
      <c r="B11" s="545"/>
      <c r="C11" s="595"/>
      <c r="D11" s="595"/>
      <c r="E11" s="535"/>
      <c r="F11" s="535"/>
      <c r="G11" s="535"/>
      <c r="H11" s="555">
        <f>SUM(H9:H10)</f>
        <v>326.88499999999999</v>
      </c>
      <c r="I11" s="585"/>
    </row>
    <row r="12" spans="1:14">
      <c r="A12" s="532"/>
      <c r="B12" s="545"/>
      <c r="C12" s="595"/>
      <c r="D12" s="595"/>
      <c r="E12" s="535"/>
      <c r="F12" s="535"/>
      <c r="G12" s="535" t="s">
        <v>2831</v>
      </c>
      <c r="H12" s="556">
        <v>327</v>
      </c>
      <c r="I12" s="585" t="s">
        <v>2935</v>
      </c>
      <c r="L12" s="531">
        <f>0.23*0.4</f>
        <v>9.2000000000000012E-2</v>
      </c>
      <c r="N12" s="531">
        <f>H12/L12</f>
        <v>3554.347826086956</v>
      </c>
    </row>
    <row r="13" spans="1:14" ht="58.5" customHeight="1">
      <c r="A13" s="532">
        <v>3</v>
      </c>
      <c r="B13" s="620" t="s">
        <v>3023</v>
      </c>
      <c r="C13" s="595"/>
      <c r="D13" s="595"/>
      <c r="E13" s="535"/>
      <c r="F13" s="535"/>
      <c r="G13" s="535"/>
      <c r="H13" s="555"/>
      <c r="I13" s="585"/>
    </row>
    <row r="14" spans="1:14">
      <c r="A14" s="532"/>
      <c r="B14" s="545" t="s">
        <v>3024</v>
      </c>
      <c r="C14" s="595">
        <v>1</v>
      </c>
      <c r="D14" s="595">
        <v>13</v>
      </c>
      <c r="E14" s="535">
        <v>1.5</v>
      </c>
      <c r="F14" s="535" t="s">
        <v>48</v>
      </c>
      <c r="G14" s="535">
        <v>0.9</v>
      </c>
      <c r="H14" s="555">
        <f t="shared" ref="H14:H15" si="1">PRODUCT(C14:G14)</f>
        <v>17.55</v>
      </c>
      <c r="I14" s="585"/>
    </row>
    <row r="15" spans="1:14">
      <c r="A15" s="532"/>
      <c r="B15" s="545" t="s">
        <v>3021</v>
      </c>
      <c r="C15" s="595">
        <v>1</v>
      </c>
      <c r="D15" s="595">
        <v>1</v>
      </c>
      <c r="E15" s="535">
        <v>7.6</v>
      </c>
      <c r="F15" s="535">
        <v>4.5</v>
      </c>
      <c r="G15" s="535" t="s">
        <v>48</v>
      </c>
      <c r="H15" s="555">
        <f t="shared" si="1"/>
        <v>34.199999999999996</v>
      </c>
      <c r="I15" s="585"/>
    </row>
    <row r="16" spans="1:14">
      <c r="A16" s="532"/>
      <c r="B16" s="545"/>
      <c r="C16" s="595"/>
      <c r="D16" s="595"/>
      <c r="E16" s="535"/>
      <c r="F16" s="535"/>
      <c r="G16" s="535"/>
      <c r="H16" s="556">
        <f>SUM(H14:H15)</f>
        <v>51.75</v>
      </c>
      <c r="I16" s="585" t="s">
        <v>2935</v>
      </c>
    </row>
    <row r="17" spans="1:9" ht="118.5" customHeight="1">
      <c r="A17" s="532">
        <v>4</v>
      </c>
      <c r="B17" s="672" t="s">
        <v>3025</v>
      </c>
      <c r="C17" s="595"/>
      <c r="D17" s="595"/>
      <c r="E17" s="535"/>
      <c r="F17" s="535"/>
      <c r="G17" s="535"/>
      <c r="H17" s="555"/>
      <c r="I17" s="585"/>
    </row>
    <row r="18" spans="1:9">
      <c r="A18" s="532"/>
      <c r="B18" s="545" t="s">
        <v>3024</v>
      </c>
      <c r="C18" s="595">
        <v>1</v>
      </c>
      <c r="D18" s="595">
        <v>3000</v>
      </c>
      <c r="E18" s="535" t="s">
        <v>48</v>
      </c>
      <c r="F18" s="535" t="s">
        <v>48</v>
      </c>
      <c r="G18" s="535" t="s">
        <v>48</v>
      </c>
      <c r="H18" s="555">
        <f>D18</f>
        <v>3000</v>
      </c>
      <c r="I18" s="585" t="s">
        <v>969</v>
      </c>
    </row>
    <row r="19" spans="1:9">
      <c r="A19" s="532"/>
      <c r="B19" s="545"/>
      <c r="C19" s="595"/>
      <c r="D19" s="595"/>
      <c r="E19" s="535"/>
      <c r="F19" s="535"/>
      <c r="G19" s="535"/>
      <c r="H19" s="555"/>
      <c r="I19" s="585"/>
    </row>
    <row r="20" spans="1:9" ht="114" customHeight="1">
      <c r="A20" s="532">
        <v>5</v>
      </c>
      <c r="B20" s="673" t="s">
        <v>3076</v>
      </c>
      <c r="C20" s="595"/>
      <c r="D20" s="595"/>
      <c r="E20" s="535"/>
      <c r="F20" s="535"/>
      <c r="G20" s="535"/>
      <c r="H20" s="555"/>
      <c r="I20" s="585"/>
    </row>
    <row r="21" spans="1:9" ht="37.5">
      <c r="A21" s="532"/>
      <c r="B21" s="638" t="s">
        <v>3024</v>
      </c>
      <c r="C21" s="595">
        <v>1</v>
      </c>
      <c r="D21" s="595">
        <v>40</v>
      </c>
      <c r="E21" s="535" t="s">
        <v>48</v>
      </c>
      <c r="F21" s="535" t="s">
        <v>48</v>
      </c>
      <c r="G21" s="535" t="s">
        <v>48</v>
      </c>
      <c r="H21" s="555">
        <f>D21</f>
        <v>40</v>
      </c>
      <c r="I21" s="585" t="s">
        <v>969</v>
      </c>
    </row>
    <row r="22" spans="1:9">
      <c r="A22" s="532"/>
      <c r="B22" s="545"/>
      <c r="C22" s="595"/>
      <c r="D22" s="595"/>
      <c r="E22" s="535"/>
      <c r="F22" s="535"/>
      <c r="G22" s="535"/>
      <c r="H22" s="555"/>
      <c r="I22" s="585"/>
    </row>
    <row r="23" spans="1:9" ht="74.25" customHeight="1">
      <c r="A23" s="532">
        <v>6</v>
      </c>
      <c r="B23" s="646" t="s">
        <v>3077</v>
      </c>
      <c r="C23" s="595"/>
      <c r="D23" s="595"/>
      <c r="E23" s="535"/>
      <c r="F23" s="535"/>
      <c r="G23" s="535"/>
      <c r="H23" s="555"/>
      <c r="I23" s="585"/>
    </row>
    <row r="24" spans="1:9">
      <c r="A24" s="532"/>
      <c r="B24" s="545" t="s">
        <v>3078</v>
      </c>
      <c r="C24" s="595">
        <v>1</v>
      </c>
      <c r="D24" s="595">
        <v>1</v>
      </c>
      <c r="E24" s="535">
        <v>9.5</v>
      </c>
      <c r="F24" s="535">
        <v>8.5</v>
      </c>
      <c r="G24" s="535" t="s">
        <v>48</v>
      </c>
      <c r="H24" s="555">
        <f t="shared" ref="H24:H25" si="2">PRODUCT(C24:G24)</f>
        <v>80.75</v>
      </c>
      <c r="I24" s="585"/>
    </row>
    <row r="25" spans="1:9">
      <c r="A25" s="532"/>
      <c r="B25" s="545" t="s">
        <v>3079</v>
      </c>
      <c r="C25" s="595">
        <v>1</v>
      </c>
      <c r="D25" s="595">
        <v>1</v>
      </c>
      <c r="E25" s="535">
        <v>5.5</v>
      </c>
      <c r="F25" s="535">
        <v>4.7</v>
      </c>
      <c r="G25" s="535" t="s">
        <v>48</v>
      </c>
      <c r="H25" s="555">
        <f t="shared" si="2"/>
        <v>25.85</v>
      </c>
      <c r="I25" s="585"/>
    </row>
    <row r="26" spans="1:9">
      <c r="A26" s="532"/>
      <c r="B26" s="545"/>
      <c r="C26" s="595"/>
      <c r="D26" s="595"/>
      <c r="E26" s="535"/>
      <c r="F26" s="535"/>
      <c r="G26" s="535"/>
      <c r="H26" s="555">
        <f>SUM(H24:H25)</f>
        <v>106.6</v>
      </c>
      <c r="I26" s="585" t="s">
        <v>2935</v>
      </c>
    </row>
    <row r="27" spans="1:9">
      <c r="A27" s="532"/>
      <c r="B27" s="545"/>
      <c r="C27" s="595"/>
      <c r="D27" s="595"/>
      <c r="E27" s="535"/>
      <c r="F27" s="535"/>
      <c r="G27" s="535"/>
      <c r="H27" s="555"/>
      <c r="I27" s="585"/>
    </row>
    <row r="28" spans="1:9" ht="115.5" customHeight="1">
      <c r="A28" s="532">
        <v>7</v>
      </c>
      <c r="B28" s="590" t="s">
        <v>3035</v>
      </c>
      <c r="C28" s="595"/>
      <c r="D28" s="595"/>
      <c r="E28" s="535"/>
      <c r="F28" s="535"/>
      <c r="G28" s="535"/>
      <c r="H28" s="555"/>
      <c r="I28" s="585"/>
    </row>
    <row r="29" spans="1:9" ht="37.5">
      <c r="A29" s="532"/>
      <c r="B29" s="622" t="s">
        <v>3080</v>
      </c>
      <c r="C29" s="623">
        <v>1</v>
      </c>
      <c r="D29" s="591">
        <v>4</v>
      </c>
      <c r="E29" s="624">
        <v>1.2</v>
      </c>
      <c r="F29" s="618" t="s">
        <v>48</v>
      </c>
      <c r="G29" s="618">
        <v>1.5</v>
      </c>
      <c r="H29" s="652">
        <f>PRODUCT(C29:G29)</f>
        <v>7.1999999999999993</v>
      </c>
      <c r="I29" s="585"/>
    </row>
    <row r="30" spans="1:9">
      <c r="A30" s="532"/>
      <c r="B30" s="545" t="s">
        <v>3083</v>
      </c>
      <c r="C30" s="595">
        <v>2</v>
      </c>
      <c r="D30" s="595">
        <v>2</v>
      </c>
      <c r="E30" s="535">
        <v>0.9</v>
      </c>
      <c r="F30" s="535" t="s">
        <v>48</v>
      </c>
      <c r="G30" s="535">
        <v>0.6</v>
      </c>
      <c r="H30" s="652">
        <f>PRODUCT(C30:G30)</f>
        <v>2.16</v>
      </c>
      <c r="I30" s="585"/>
    </row>
    <row r="31" spans="1:9">
      <c r="A31" s="532"/>
      <c r="B31" s="622"/>
      <c r="C31" s="623"/>
      <c r="D31" s="591"/>
      <c r="E31" s="624"/>
      <c r="F31" s="618"/>
      <c r="G31" s="618"/>
      <c r="H31" s="652">
        <f>SUM(H29:H30)</f>
        <v>9.36</v>
      </c>
      <c r="I31" s="627"/>
    </row>
    <row r="32" spans="1:9">
      <c r="A32" s="532"/>
      <c r="B32" s="545"/>
      <c r="C32" s="595"/>
      <c r="D32" s="595"/>
      <c r="E32" s="535"/>
      <c r="F32" s="535"/>
      <c r="G32" s="535" t="s">
        <v>2831</v>
      </c>
      <c r="H32" s="555">
        <v>9.4</v>
      </c>
      <c r="I32" s="585" t="s">
        <v>2935</v>
      </c>
    </row>
    <row r="33" spans="1:9" ht="42.75" customHeight="1">
      <c r="A33" s="532">
        <v>8</v>
      </c>
      <c r="B33" s="637" t="s">
        <v>3137</v>
      </c>
      <c r="C33" s="595"/>
      <c r="D33" s="595"/>
      <c r="E33" s="535"/>
      <c r="F33" s="535"/>
      <c r="G33" s="535"/>
      <c r="H33" s="555"/>
      <c r="I33" s="585"/>
    </row>
    <row r="34" spans="1:9" ht="22.5" customHeight="1">
      <c r="A34" s="532"/>
      <c r="B34" s="636" t="s">
        <v>3081</v>
      </c>
      <c r="C34" s="595"/>
      <c r="D34" s="595"/>
      <c r="E34" s="535"/>
      <c r="F34" s="535"/>
      <c r="G34" s="535"/>
      <c r="H34" s="555"/>
      <c r="I34" s="585"/>
    </row>
    <row r="35" spans="1:9">
      <c r="A35" s="532"/>
      <c r="B35" s="545" t="s">
        <v>3082</v>
      </c>
      <c r="C35" s="595">
        <v>2</v>
      </c>
      <c r="D35" s="595">
        <v>2</v>
      </c>
      <c r="E35" s="535" t="s">
        <v>48</v>
      </c>
      <c r="F35" s="535" t="s">
        <v>48</v>
      </c>
      <c r="G35" s="535" t="s">
        <v>48</v>
      </c>
      <c r="H35" s="556">
        <f>D35*C35</f>
        <v>4</v>
      </c>
      <c r="I35" s="585" t="s">
        <v>969</v>
      </c>
    </row>
    <row r="36" spans="1:9" ht="20.25" customHeight="1">
      <c r="A36" s="532"/>
      <c r="B36" s="583"/>
      <c r="C36" s="594"/>
      <c r="D36" s="595"/>
      <c r="E36" s="535"/>
      <c r="F36" s="535"/>
      <c r="G36" s="584"/>
      <c r="H36" s="538"/>
      <c r="I36" s="585"/>
    </row>
    <row r="37" spans="1:9" ht="37.5">
      <c r="A37" s="532">
        <v>9</v>
      </c>
      <c r="B37" s="582" t="s">
        <v>3030</v>
      </c>
      <c r="C37" s="595"/>
      <c r="D37" s="595"/>
      <c r="E37" s="535"/>
      <c r="F37" s="535"/>
      <c r="G37" s="535"/>
      <c r="H37" s="555"/>
      <c r="I37" s="585"/>
    </row>
    <row r="38" spans="1:9" s="633" customFormat="1">
      <c r="A38" s="628"/>
      <c r="B38" s="629" t="s">
        <v>3031</v>
      </c>
      <c r="C38" s="630">
        <v>1</v>
      </c>
      <c r="D38" s="630">
        <v>4</v>
      </c>
      <c r="E38" s="631">
        <v>1.2</v>
      </c>
      <c r="F38" s="631" t="s">
        <v>48</v>
      </c>
      <c r="G38" s="631">
        <v>1.5</v>
      </c>
      <c r="H38" s="655">
        <f>D38*E38*G38</f>
        <v>7.1999999999999993</v>
      </c>
      <c r="I38" s="632"/>
    </row>
    <row r="39" spans="1:9" s="633" customFormat="1">
      <c r="A39" s="628"/>
      <c r="B39" s="629"/>
      <c r="C39" s="630"/>
      <c r="D39" s="630"/>
      <c r="E39" s="631"/>
      <c r="F39" s="631"/>
      <c r="G39" s="631"/>
      <c r="H39" s="655">
        <f>H38</f>
        <v>7.1999999999999993</v>
      </c>
      <c r="I39" s="632"/>
    </row>
    <row r="40" spans="1:9" s="633" customFormat="1">
      <c r="A40" s="628"/>
      <c r="B40" s="629"/>
      <c r="C40" s="630">
        <v>1</v>
      </c>
      <c r="D40" s="630">
        <v>1</v>
      </c>
      <c r="E40" s="631">
        <f>H39</f>
        <v>7.1999999999999993</v>
      </c>
      <c r="F40" s="631" t="s">
        <v>2982</v>
      </c>
      <c r="G40" s="631">
        <v>40</v>
      </c>
      <c r="H40" s="655">
        <f>E40*G40</f>
        <v>288</v>
      </c>
      <c r="I40" s="632"/>
    </row>
    <row r="41" spans="1:9" s="633" customFormat="1">
      <c r="A41" s="628"/>
      <c r="B41" s="629"/>
      <c r="C41" s="630"/>
      <c r="D41" s="630"/>
      <c r="E41" s="631"/>
      <c r="F41" s="631"/>
      <c r="G41" s="634" t="s">
        <v>3032</v>
      </c>
      <c r="H41" s="656">
        <f>H40</f>
        <v>288</v>
      </c>
      <c r="I41" s="635" t="s">
        <v>488</v>
      </c>
    </row>
    <row r="42" spans="1:9" ht="116.25" customHeight="1">
      <c r="A42" s="532">
        <v>10</v>
      </c>
      <c r="B42" s="616" t="s">
        <v>2977</v>
      </c>
      <c r="C42" s="595"/>
      <c r="D42" s="595"/>
      <c r="E42" s="535"/>
      <c r="F42" s="535"/>
      <c r="G42" s="535"/>
      <c r="H42" s="556"/>
      <c r="I42" s="585"/>
    </row>
    <row r="43" spans="1:9">
      <c r="A43" s="532"/>
      <c r="B43" s="545" t="s">
        <v>2948</v>
      </c>
      <c r="C43" s="595">
        <v>1</v>
      </c>
      <c r="D43" s="595">
        <v>1</v>
      </c>
      <c r="E43" s="535">
        <v>1.8</v>
      </c>
      <c r="F43" s="535">
        <v>0.9</v>
      </c>
      <c r="G43" s="535">
        <v>0.15</v>
      </c>
      <c r="H43" s="555">
        <f>PRODUCT(C43:G43)</f>
        <v>0.24299999999999999</v>
      </c>
      <c r="I43" s="531"/>
    </row>
    <row r="44" spans="1:9">
      <c r="A44" s="532"/>
      <c r="B44" s="545" t="s">
        <v>3087</v>
      </c>
      <c r="C44" s="595">
        <v>1</v>
      </c>
      <c r="D44" s="595">
        <v>1</v>
      </c>
      <c r="E44" s="535">
        <v>7.5</v>
      </c>
      <c r="F44" s="535">
        <v>0.9</v>
      </c>
      <c r="G44" s="535">
        <v>0.15</v>
      </c>
      <c r="H44" s="555">
        <f>PRODUCT(C44:G44)</f>
        <v>1.0125</v>
      </c>
      <c r="I44" s="585"/>
    </row>
    <row r="45" spans="1:9">
      <c r="A45" s="532"/>
      <c r="B45" s="545" t="s">
        <v>3088</v>
      </c>
      <c r="C45" s="595">
        <v>1</v>
      </c>
      <c r="D45" s="595">
        <v>1</v>
      </c>
      <c r="E45" s="535">
        <v>5</v>
      </c>
      <c r="F45" s="535">
        <v>0.75</v>
      </c>
      <c r="G45" s="535">
        <v>0.15</v>
      </c>
      <c r="H45" s="555">
        <f>PRODUCT(C45:G45)</f>
        <v>0.5625</v>
      </c>
      <c r="I45" s="585"/>
    </row>
    <row r="46" spans="1:9">
      <c r="A46" s="532"/>
      <c r="B46" s="545"/>
      <c r="C46" s="595"/>
      <c r="D46" s="595"/>
      <c r="E46" s="535"/>
      <c r="F46" s="535"/>
      <c r="G46" s="535"/>
      <c r="H46" s="555">
        <f>SUM(H43:H45)</f>
        <v>1.8180000000000001</v>
      </c>
      <c r="I46" s="585"/>
    </row>
    <row r="47" spans="1:9">
      <c r="A47" s="532"/>
      <c r="B47" s="545"/>
      <c r="C47" s="595"/>
      <c r="D47" s="595"/>
      <c r="E47" s="535"/>
      <c r="F47" s="535"/>
      <c r="G47" s="535"/>
      <c r="H47" s="556">
        <v>1.85</v>
      </c>
      <c r="I47" s="585" t="s">
        <v>2934</v>
      </c>
    </row>
    <row r="48" spans="1:9" s="633" customFormat="1" ht="62.25" customHeight="1">
      <c r="A48" s="532">
        <v>11</v>
      </c>
      <c r="B48" s="625" t="s">
        <v>3136</v>
      </c>
      <c r="C48" s="630"/>
      <c r="D48" s="630"/>
      <c r="E48" s="631"/>
      <c r="F48" s="631"/>
      <c r="G48" s="634"/>
      <c r="H48" s="634"/>
      <c r="I48" s="635"/>
    </row>
    <row r="49" spans="1:10" s="633" customFormat="1">
      <c r="A49" s="628"/>
      <c r="B49" s="629" t="s">
        <v>3084</v>
      </c>
      <c r="C49" s="630">
        <v>1</v>
      </c>
      <c r="D49" s="630">
        <v>2</v>
      </c>
      <c r="E49" s="631">
        <v>3.32</v>
      </c>
      <c r="F49" s="631">
        <v>0.23</v>
      </c>
      <c r="G49" s="631">
        <v>0.6</v>
      </c>
      <c r="H49" s="653">
        <f>PRODUCT(C49:G49)</f>
        <v>0.91631999999999991</v>
      </c>
      <c r="I49" s="635"/>
    </row>
    <row r="50" spans="1:10" s="633" customFormat="1">
      <c r="A50" s="628"/>
      <c r="B50" s="629" t="s">
        <v>3085</v>
      </c>
      <c r="C50" s="630">
        <v>1</v>
      </c>
      <c r="D50" s="630">
        <v>2</v>
      </c>
      <c r="E50" s="631">
        <v>6</v>
      </c>
      <c r="F50" s="631">
        <v>0.23</v>
      </c>
      <c r="G50" s="631">
        <v>0.3</v>
      </c>
      <c r="H50" s="653">
        <f>PRODUCT(C50:G50)</f>
        <v>0.82800000000000007</v>
      </c>
      <c r="I50" s="635"/>
    </row>
    <row r="51" spans="1:10" s="633" customFormat="1">
      <c r="A51" s="628"/>
      <c r="B51" s="629"/>
      <c r="C51" s="630"/>
      <c r="D51" s="630"/>
      <c r="E51" s="631"/>
      <c r="F51" s="631"/>
      <c r="G51" s="634"/>
      <c r="H51" s="657">
        <f>SUM(H49:H50)</f>
        <v>1.7443200000000001</v>
      </c>
      <c r="I51" s="635"/>
    </row>
    <row r="52" spans="1:10" s="633" customFormat="1">
      <c r="A52" s="628"/>
      <c r="B52" s="629"/>
      <c r="C52" s="630"/>
      <c r="D52" s="630"/>
      <c r="E52" s="631"/>
      <c r="F52" s="631"/>
      <c r="G52" s="634"/>
      <c r="H52" s="654">
        <v>1.75</v>
      </c>
      <c r="I52" s="585" t="s">
        <v>2934</v>
      </c>
    </row>
    <row r="53" spans="1:10" ht="54" customHeight="1">
      <c r="A53" s="532">
        <v>12</v>
      </c>
      <c r="B53" s="625" t="s">
        <v>3135</v>
      </c>
      <c r="C53" s="595"/>
      <c r="D53" s="595"/>
      <c r="E53" s="535"/>
      <c r="F53" s="535"/>
      <c r="G53" s="535"/>
      <c r="H53" s="555"/>
      <c r="I53" s="585"/>
    </row>
    <row r="54" spans="1:10">
      <c r="A54" s="532"/>
      <c r="B54" s="545" t="s">
        <v>2948</v>
      </c>
      <c r="C54" s="595">
        <v>1</v>
      </c>
      <c r="D54" s="595">
        <v>1</v>
      </c>
      <c r="E54" s="535">
        <v>6.32</v>
      </c>
      <c r="F54" s="535">
        <v>0.23</v>
      </c>
      <c r="G54" s="535">
        <v>0.9</v>
      </c>
      <c r="H54" s="555">
        <f t="shared" ref="H54" si="3">PRODUCT(C54:G54)</f>
        <v>1.3082400000000003</v>
      </c>
      <c r="I54" s="585"/>
    </row>
    <row r="55" spans="1:10">
      <c r="A55" s="532"/>
      <c r="B55" s="651" t="s">
        <v>3036</v>
      </c>
      <c r="C55" s="595">
        <v>1</v>
      </c>
      <c r="D55" s="595">
        <v>1</v>
      </c>
      <c r="E55" s="535">
        <v>7.2</v>
      </c>
      <c r="F55" s="535">
        <v>0.23</v>
      </c>
      <c r="G55" s="535">
        <v>0.75</v>
      </c>
      <c r="H55" s="555">
        <f t="shared" ref="H55" si="4">PRODUCT(C55:G55)</f>
        <v>1.242</v>
      </c>
      <c r="I55" s="585"/>
    </row>
    <row r="56" spans="1:10">
      <c r="A56" s="532"/>
      <c r="B56" s="638"/>
      <c r="C56" s="595"/>
      <c r="D56" s="595"/>
      <c r="E56" s="535"/>
      <c r="F56" s="535"/>
      <c r="G56" s="535"/>
      <c r="H56" s="555">
        <f>SUM(H54:H55)</f>
        <v>2.5502400000000005</v>
      </c>
      <c r="I56" s="585"/>
    </row>
    <row r="57" spans="1:10">
      <c r="A57" s="532"/>
      <c r="B57" s="545"/>
      <c r="C57" s="595"/>
      <c r="D57" s="595"/>
      <c r="E57" s="535"/>
      <c r="F57" s="535"/>
      <c r="G57" s="535"/>
      <c r="H57" s="556">
        <v>2.6</v>
      </c>
      <c r="I57" s="585" t="s">
        <v>2934</v>
      </c>
    </row>
    <row r="58" spans="1:10" ht="91.5" customHeight="1">
      <c r="A58" s="532">
        <v>13</v>
      </c>
      <c r="B58" s="615" t="s">
        <v>3051</v>
      </c>
      <c r="C58" s="595"/>
      <c r="D58" s="595"/>
      <c r="E58" s="535"/>
      <c r="F58" s="535"/>
      <c r="G58" s="535"/>
      <c r="H58" s="555"/>
      <c r="I58" s="585"/>
    </row>
    <row r="59" spans="1:10">
      <c r="A59" s="532"/>
      <c r="B59" s="545" t="s">
        <v>3086</v>
      </c>
      <c r="C59" s="595">
        <v>1</v>
      </c>
      <c r="D59" s="595">
        <v>4</v>
      </c>
      <c r="E59" s="535">
        <v>0.9</v>
      </c>
      <c r="F59" s="535"/>
      <c r="G59" s="535">
        <v>0.6</v>
      </c>
      <c r="H59" s="555">
        <f t="shared" ref="H59" si="5">PRODUCT(C59:G59)</f>
        <v>2.16</v>
      </c>
      <c r="I59" s="585"/>
      <c r="J59" s="531">
        <v>1.59</v>
      </c>
    </row>
    <row r="60" spans="1:10">
      <c r="A60" s="532"/>
      <c r="B60" s="545"/>
      <c r="C60" s="595"/>
      <c r="D60" s="595"/>
      <c r="E60" s="535"/>
      <c r="F60" s="535"/>
      <c r="G60" s="535" t="s">
        <v>2831</v>
      </c>
      <c r="H60" s="556">
        <v>2.2000000000000002</v>
      </c>
      <c r="I60" s="585" t="s">
        <v>2935</v>
      </c>
    </row>
    <row r="61" spans="1:10" ht="93.75">
      <c r="A61" s="532">
        <v>14</v>
      </c>
      <c r="B61" s="616" t="s">
        <v>2978</v>
      </c>
      <c r="C61" s="595"/>
      <c r="D61" s="595"/>
      <c r="E61" s="535"/>
      <c r="F61" s="535"/>
      <c r="G61" s="535"/>
      <c r="H61" s="555"/>
      <c r="I61" s="585"/>
    </row>
    <row r="62" spans="1:10">
      <c r="A62" s="532"/>
      <c r="B62" s="545" t="s">
        <v>3091</v>
      </c>
      <c r="C62" s="595">
        <v>1</v>
      </c>
      <c r="D62" s="595">
        <v>1</v>
      </c>
      <c r="E62" s="535">
        <v>5.4</v>
      </c>
      <c r="F62" s="535" t="s">
        <v>48</v>
      </c>
      <c r="G62" s="535">
        <v>0.9</v>
      </c>
      <c r="H62" s="555">
        <f t="shared" ref="H62:H63" si="6">PRODUCT(C62:G62)</f>
        <v>4.8600000000000003</v>
      </c>
      <c r="I62" s="585"/>
    </row>
    <row r="63" spans="1:10">
      <c r="A63" s="532"/>
      <c r="B63" s="545" t="s">
        <v>2981</v>
      </c>
      <c r="C63" s="595">
        <v>1</v>
      </c>
      <c r="D63" s="595">
        <v>1</v>
      </c>
      <c r="E63" s="535">
        <v>6.32</v>
      </c>
      <c r="F63" s="535">
        <v>0.23</v>
      </c>
      <c r="G63" s="535" t="s">
        <v>48</v>
      </c>
      <c r="H63" s="555">
        <f t="shared" si="6"/>
        <v>1.4536000000000002</v>
      </c>
      <c r="I63" s="585"/>
    </row>
    <row r="64" spans="1:10">
      <c r="A64" s="532"/>
      <c r="B64" s="629" t="s">
        <v>3085</v>
      </c>
      <c r="C64" s="630">
        <v>1</v>
      </c>
      <c r="D64" s="630">
        <v>2</v>
      </c>
      <c r="E64" s="631">
        <v>6</v>
      </c>
      <c r="F64" s="535" t="s">
        <v>48</v>
      </c>
      <c r="G64" s="631">
        <v>0.3</v>
      </c>
      <c r="H64" s="653">
        <f>PRODUCT(C64:G64)</f>
        <v>3.5999999999999996</v>
      </c>
      <c r="I64" s="585"/>
    </row>
    <row r="65" spans="1:9" ht="37.5">
      <c r="A65" s="532"/>
      <c r="B65" s="629" t="s">
        <v>3090</v>
      </c>
      <c r="C65" s="630">
        <v>1</v>
      </c>
      <c r="D65" s="630">
        <v>1</v>
      </c>
      <c r="E65" s="631">
        <v>2.4</v>
      </c>
      <c r="F65" s="535" t="s">
        <v>48</v>
      </c>
      <c r="G65" s="631">
        <v>0.6</v>
      </c>
      <c r="H65" s="653">
        <f>PRODUCT(C65:G65)</f>
        <v>1.44</v>
      </c>
      <c r="I65" s="585"/>
    </row>
    <row r="66" spans="1:9">
      <c r="A66" s="532"/>
      <c r="B66" s="629"/>
      <c r="C66" s="630"/>
      <c r="D66" s="630"/>
      <c r="E66" s="631"/>
      <c r="F66" s="535"/>
      <c r="G66" s="631"/>
      <c r="H66" s="653">
        <f>SUM(H62:H65)</f>
        <v>11.3536</v>
      </c>
      <c r="I66" s="585"/>
    </row>
    <row r="67" spans="1:9">
      <c r="A67" s="532"/>
      <c r="B67" s="545"/>
      <c r="C67" s="595"/>
      <c r="D67" s="595"/>
      <c r="E67" s="535"/>
      <c r="F67" s="535"/>
      <c r="G67" s="535" t="s">
        <v>2831</v>
      </c>
      <c r="H67" s="556">
        <v>11.4</v>
      </c>
      <c r="I67" s="585" t="s">
        <v>2935</v>
      </c>
    </row>
    <row r="68" spans="1:9">
      <c r="A68" s="532"/>
      <c r="B68" s="545"/>
      <c r="C68" s="595"/>
      <c r="D68" s="595"/>
      <c r="E68" s="535"/>
      <c r="F68" s="535"/>
      <c r="G68" s="535"/>
      <c r="H68" s="556"/>
      <c r="I68" s="585"/>
    </row>
    <row r="69" spans="1:9" ht="93.75">
      <c r="A69" s="532">
        <v>15</v>
      </c>
      <c r="B69" s="617" t="s">
        <v>2979</v>
      </c>
      <c r="C69" s="595"/>
      <c r="D69" s="595"/>
      <c r="E69" s="535"/>
      <c r="F69" s="535"/>
      <c r="G69" s="535"/>
      <c r="H69" s="555"/>
      <c r="I69" s="585"/>
    </row>
    <row r="70" spans="1:9">
      <c r="A70" s="532"/>
      <c r="B70" s="545" t="s">
        <v>2980</v>
      </c>
      <c r="C70" s="595">
        <v>1</v>
      </c>
      <c r="D70" s="595">
        <v>1</v>
      </c>
      <c r="E70" s="535">
        <v>1.8</v>
      </c>
      <c r="F70" s="535">
        <v>0.9</v>
      </c>
      <c r="G70" s="535" t="s">
        <v>48</v>
      </c>
      <c r="H70" s="555">
        <f t="shared" ref="H70" si="7">PRODUCT(C70:G70)</f>
        <v>1.62</v>
      </c>
      <c r="I70" s="531"/>
    </row>
    <row r="71" spans="1:9">
      <c r="A71" s="532"/>
      <c r="B71" s="629" t="s">
        <v>3085</v>
      </c>
      <c r="C71" s="630">
        <v>1</v>
      </c>
      <c r="D71" s="630">
        <v>2</v>
      </c>
      <c r="E71" s="631">
        <v>6</v>
      </c>
      <c r="F71" s="535">
        <v>0.23</v>
      </c>
      <c r="G71" s="535" t="s">
        <v>48</v>
      </c>
      <c r="H71" s="653">
        <f>PRODUCT(C71:G71)</f>
        <v>2.7600000000000002</v>
      </c>
      <c r="I71" s="585"/>
    </row>
    <row r="72" spans="1:9">
      <c r="A72" s="532"/>
      <c r="B72" s="629" t="s">
        <v>3084</v>
      </c>
      <c r="C72" s="630">
        <v>1</v>
      </c>
      <c r="D72" s="630">
        <v>2</v>
      </c>
      <c r="E72" s="631">
        <v>0.6</v>
      </c>
      <c r="F72" s="535">
        <v>0.6</v>
      </c>
      <c r="G72" s="535" t="s">
        <v>48</v>
      </c>
      <c r="H72" s="653">
        <f>PRODUCT(C72:G72)</f>
        <v>0.72</v>
      </c>
      <c r="I72" s="585"/>
    </row>
    <row r="73" spans="1:9">
      <c r="A73" s="532"/>
      <c r="B73" s="545"/>
      <c r="C73" s="595"/>
      <c r="D73" s="595"/>
      <c r="E73" s="535"/>
      <c r="F73" s="535"/>
      <c r="G73" s="535"/>
      <c r="H73" s="555">
        <f>SUM(H70:H72)</f>
        <v>5.1000000000000005</v>
      </c>
      <c r="I73" s="585"/>
    </row>
    <row r="74" spans="1:9" ht="20.25" customHeight="1">
      <c r="A74" s="532"/>
      <c r="B74" s="583"/>
      <c r="C74" s="594"/>
      <c r="D74" s="595"/>
      <c r="E74" s="535"/>
      <c r="F74" s="535"/>
      <c r="G74" s="584"/>
      <c r="H74" s="538">
        <v>5.0999999999999996</v>
      </c>
      <c r="I74" s="585" t="s">
        <v>2935</v>
      </c>
    </row>
    <row r="75" spans="1:9" ht="93.75">
      <c r="A75" s="532">
        <v>16</v>
      </c>
      <c r="B75" s="616" t="s">
        <v>3038</v>
      </c>
      <c r="C75" s="595"/>
      <c r="D75" s="595"/>
      <c r="E75" s="535"/>
      <c r="F75" s="535"/>
      <c r="G75" s="535"/>
      <c r="H75" s="555"/>
      <c r="I75" s="585"/>
    </row>
    <row r="76" spans="1:9" ht="37.5">
      <c r="A76" s="532"/>
      <c r="B76" s="638" t="s">
        <v>3037</v>
      </c>
      <c r="C76" s="595">
        <v>1</v>
      </c>
      <c r="D76" s="595">
        <v>2</v>
      </c>
      <c r="E76" s="535">
        <v>15.3</v>
      </c>
      <c r="F76" s="535" t="s">
        <v>48</v>
      </c>
      <c r="G76" s="535">
        <v>3</v>
      </c>
      <c r="H76" s="555">
        <f t="shared" ref="H76:H79" si="8">PRODUCT(C76:G76)</f>
        <v>91.800000000000011</v>
      </c>
      <c r="I76" s="585"/>
    </row>
    <row r="77" spans="1:9">
      <c r="A77" s="532"/>
      <c r="B77" s="638" t="s">
        <v>3089</v>
      </c>
      <c r="C77" s="595">
        <v>1</v>
      </c>
      <c r="D77" s="595">
        <v>1</v>
      </c>
      <c r="E77" s="535">
        <v>9.6999999999999993</v>
      </c>
      <c r="F77" s="535" t="s">
        <v>48</v>
      </c>
      <c r="G77" s="535">
        <v>3</v>
      </c>
      <c r="H77" s="555">
        <f t="shared" si="8"/>
        <v>29.099999999999998</v>
      </c>
      <c r="I77" s="585"/>
    </row>
    <row r="78" spans="1:9">
      <c r="A78" s="532"/>
      <c r="B78" s="545" t="s">
        <v>3092</v>
      </c>
      <c r="C78" s="595">
        <v>1</v>
      </c>
      <c r="D78" s="595">
        <v>1</v>
      </c>
      <c r="E78" s="535">
        <v>7.24</v>
      </c>
      <c r="F78" s="535" t="s">
        <v>48</v>
      </c>
      <c r="G78" s="535">
        <v>0.9</v>
      </c>
      <c r="H78" s="555">
        <f t="shared" si="8"/>
        <v>6.516</v>
      </c>
      <c r="I78" s="585"/>
    </row>
    <row r="79" spans="1:9">
      <c r="A79" s="532"/>
      <c r="B79" s="629" t="s">
        <v>3093</v>
      </c>
      <c r="C79" s="595">
        <v>1</v>
      </c>
      <c r="D79" s="595">
        <v>1</v>
      </c>
      <c r="E79" s="535">
        <v>5</v>
      </c>
      <c r="F79" s="535">
        <v>0.23</v>
      </c>
      <c r="G79" s="535" t="s">
        <v>48</v>
      </c>
      <c r="H79" s="555">
        <f t="shared" si="8"/>
        <v>1.1500000000000001</v>
      </c>
      <c r="I79" s="585"/>
    </row>
    <row r="80" spans="1:9">
      <c r="A80" s="532"/>
      <c r="B80" s="638"/>
      <c r="C80" s="595"/>
      <c r="D80" s="595"/>
      <c r="E80" s="535"/>
      <c r="F80" s="535"/>
      <c r="G80" s="535"/>
      <c r="H80" s="555">
        <f>SUM(H76:H79)</f>
        <v>128.566</v>
      </c>
      <c r="I80" s="585"/>
    </row>
    <row r="81" spans="1:9">
      <c r="A81" s="532"/>
      <c r="B81" s="545"/>
      <c r="C81" s="595"/>
      <c r="D81" s="595"/>
      <c r="E81" s="535"/>
      <c r="F81" s="535"/>
      <c r="G81" s="535"/>
      <c r="H81" s="556">
        <v>129</v>
      </c>
      <c r="I81" s="585" t="s">
        <v>2935</v>
      </c>
    </row>
    <row r="82" spans="1:9" ht="37.5">
      <c r="A82" s="532">
        <v>17</v>
      </c>
      <c r="B82" s="543" t="s">
        <v>2949</v>
      </c>
      <c r="C82" s="594"/>
      <c r="D82" s="595"/>
      <c r="E82" s="535"/>
      <c r="F82" s="535"/>
      <c r="G82" s="535"/>
      <c r="H82" s="536"/>
      <c r="I82" s="585"/>
    </row>
    <row r="83" spans="1:9">
      <c r="A83" s="532"/>
      <c r="B83" s="548" t="s">
        <v>2946</v>
      </c>
      <c r="C83" s="594">
        <v>1</v>
      </c>
      <c r="D83" s="595">
        <v>2</v>
      </c>
      <c r="E83" s="535" t="s">
        <v>48</v>
      </c>
      <c r="F83" s="535" t="s">
        <v>48</v>
      </c>
      <c r="G83" s="535" t="s">
        <v>48</v>
      </c>
      <c r="H83" s="610">
        <f>PRODUCT(C83:G83)</f>
        <v>2</v>
      </c>
      <c r="I83" s="586"/>
    </row>
    <row r="84" spans="1:9">
      <c r="A84" s="532"/>
      <c r="B84" s="548" t="s">
        <v>2947</v>
      </c>
      <c r="C84" s="594">
        <v>1</v>
      </c>
      <c r="D84" s="595">
        <v>2</v>
      </c>
      <c r="E84" s="535" t="s">
        <v>48</v>
      </c>
      <c r="F84" s="535" t="s">
        <v>48</v>
      </c>
      <c r="G84" s="535" t="s">
        <v>48</v>
      </c>
      <c r="H84" s="610">
        <f>PRODUCT(C84:G84)</f>
        <v>2</v>
      </c>
      <c r="I84" s="586"/>
    </row>
    <row r="85" spans="1:9" s="647" customFormat="1">
      <c r="A85" s="532"/>
      <c r="B85" s="545"/>
      <c r="C85" s="595"/>
      <c r="D85" s="595"/>
      <c r="E85" s="648"/>
      <c r="F85" s="649"/>
      <c r="G85" s="552"/>
      <c r="H85" s="556">
        <f>SUM(H83:H84)</f>
        <v>4</v>
      </c>
      <c r="I85" s="586" t="s">
        <v>969</v>
      </c>
    </row>
    <row r="86" spans="1:9" s="647" customFormat="1" ht="56.25">
      <c r="A86" s="532">
        <v>18</v>
      </c>
      <c r="B86" s="611" t="s">
        <v>2950</v>
      </c>
      <c r="C86" s="595"/>
      <c r="D86" s="595"/>
      <c r="E86" s="648"/>
      <c r="F86" s="649"/>
      <c r="G86" s="552"/>
      <c r="H86" s="650"/>
      <c r="I86" s="585"/>
    </row>
    <row r="87" spans="1:9">
      <c r="A87" s="532"/>
      <c r="B87" s="545" t="s">
        <v>2948</v>
      </c>
      <c r="C87" s="595">
        <v>1</v>
      </c>
      <c r="D87" s="595">
        <v>2</v>
      </c>
      <c r="E87" s="535" t="s">
        <v>48</v>
      </c>
      <c r="F87" s="535" t="s">
        <v>48</v>
      </c>
      <c r="G87" s="535" t="s">
        <v>48</v>
      </c>
      <c r="H87" s="612">
        <f>PRODUCT(C87:G87)</f>
        <v>2</v>
      </c>
      <c r="I87" s="586" t="s">
        <v>969</v>
      </c>
    </row>
    <row r="88" spans="1:9">
      <c r="A88" s="532"/>
      <c r="B88" s="545"/>
      <c r="C88" s="595"/>
      <c r="D88" s="595"/>
      <c r="E88" s="535"/>
      <c r="F88" s="535"/>
      <c r="G88" s="535"/>
      <c r="H88" s="555"/>
      <c r="I88" s="585"/>
    </row>
    <row r="89" spans="1:9" ht="45.95" customHeight="1">
      <c r="A89" s="532">
        <v>19</v>
      </c>
      <c r="B89" s="611" t="s">
        <v>2952</v>
      </c>
      <c r="C89" s="595"/>
      <c r="D89" s="595"/>
      <c r="E89" s="535"/>
      <c r="F89" s="535"/>
      <c r="G89" s="535"/>
      <c r="H89" s="555"/>
      <c r="I89" s="585"/>
    </row>
    <row r="90" spans="1:9">
      <c r="A90" s="532"/>
      <c r="B90" s="545" t="s">
        <v>2951</v>
      </c>
      <c r="C90" s="595">
        <v>1</v>
      </c>
      <c r="D90" s="595">
        <v>1</v>
      </c>
      <c r="E90" s="535">
        <v>20</v>
      </c>
      <c r="F90" s="535" t="s">
        <v>48</v>
      </c>
      <c r="G90" s="535" t="s">
        <v>48</v>
      </c>
      <c r="H90" s="612">
        <f>PRODUCT(C90:G90)</f>
        <v>20</v>
      </c>
      <c r="I90" s="586" t="s">
        <v>969</v>
      </c>
    </row>
    <row r="91" spans="1:9">
      <c r="A91" s="532"/>
      <c r="B91" s="545"/>
      <c r="C91" s="595"/>
      <c r="D91" s="595"/>
      <c r="E91" s="535"/>
      <c r="F91" s="535"/>
      <c r="G91" s="535"/>
      <c r="H91" s="555"/>
      <c r="I91" s="585"/>
    </row>
    <row r="92" spans="1:9" ht="37.5">
      <c r="A92" s="532">
        <v>20</v>
      </c>
      <c r="B92" s="611" t="s">
        <v>3147</v>
      </c>
      <c r="C92" s="595"/>
      <c r="D92" s="595"/>
      <c r="E92" s="535"/>
      <c r="F92" s="535"/>
      <c r="G92" s="535"/>
      <c r="H92" s="555"/>
      <c r="I92" s="585"/>
    </row>
    <row r="93" spans="1:9">
      <c r="A93" s="532"/>
      <c r="B93" s="545" t="s">
        <v>2951</v>
      </c>
      <c r="C93" s="595">
        <v>1</v>
      </c>
      <c r="D93" s="595">
        <v>1</v>
      </c>
      <c r="E93" s="535">
        <v>20</v>
      </c>
      <c r="F93" s="535" t="s">
        <v>48</v>
      </c>
      <c r="G93" s="535" t="s">
        <v>48</v>
      </c>
      <c r="H93" s="612">
        <f>PRODUCT(C93:G93)</f>
        <v>20</v>
      </c>
      <c r="I93" s="586" t="s">
        <v>969</v>
      </c>
    </row>
    <row r="94" spans="1:9" ht="67.5" customHeight="1">
      <c r="A94" s="532">
        <v>21</v>
      </c>
      <c r="B94" s="543" t="s">
        <v>3029</v>
      </c>
      <c r="C94" s="595"/>
      <c r="D94" s="595"/>
      <c r="E94" s="535"/>
      <c r="F94" s="535"/>
      <c r="G94" s="535"/>
      <c r="H94" s="555"/>
      <c r="I94" s="585"/>
    </row>
    <row r="95" spans="1:9">
      <c r="A95" s="532"/>
      <c r="B95" s="545" t="s">
        <v>3094</v>
      </c>
      <c r="C95" s="595">
        <v>1</v>
      </c>
      <c r="D95" s="595">
        <v>3</v>
      </c>
      <c r="E95" s="535" t="s">
        <v>48</v>
      </c>
      <c r="F95" s="535" t="s">
        <v>48</v>
      </c>
      <c r="G95" s="535" t="s">
        <v>48</v>
      </c>
      <c r="H95" s="612">
        <f>PRODUCT(C95:G95)</f>
        <v>3</v>
      </c>
      <c r="I95" s="627"/>
    </row>
    <row r="96" spans="1:9">
      <c r="A96" s="532"/>
      <c r="B96" s="545"/>
      <c r="C96" s="595"/>
      <c r="D96" s="595"/>
      <c r="E96" s="535"/>
      <c r="F96" s="535"/>
      <c r="G96" s="535"/>
      <c r="H96" s="556">
        <f>SUM(H95:H95)</f>
        <v>3</v>
      </c>
      <c r="I96" s="585" t="s">
        <v>969</v>
      </c>
    </row>
    <row r="97" spans="1:9" ht="84.75" customHeight="1">
      <c r="A97" s="532">
        <v>22</v>
      </c>
      <c r="B97" s="658" t="s">
        <v>3095</v>
      </c>
      <c r="C97" s="594"/>
      <c r="D97" s="595"/>
      <c r="E97" s="535"/>
      <c r="F97" s="535"/>
      <c r="G97" s="584"/>
      <c r="H97" s="538"/>
      <c r="I97" s="585"/>
    </row>
    <row r="98" spans="1:9" ht="20.25" customHeight="1">
      <c r="A98" s="532"/>
      <c r="B98" s="545" t="s">
        <v>3094</v>
      </c>
      <c r="C98" s="595">
        <v>1</v>
      </c>
      <c r="D98" s="595">
        <v>3</v>
      </c>
      <c r="E98" s="535" t="s">
        <v>48</v>
      </c>
      <c r="F98" s="535" t="s">
        <v>48</v>
      </c>
      <c r="G98" s="535" t="s">
        <v>48</v>
      </c>
      <c r="H98" s="612">
        <f>PRODUCT(C98:G98)</f>
        <v>3</v>
      </c>
      <c r="I98" s="585"/>
    </row>
    <row r="99" spans="1:9" ht="80.25" customHeight="1">
      <c r="A99" s="532">
        <v>23</v>
      </c>
      <c r="B99" s="659" t="s">
        <v>3096</v>
      </c>
      <c r="C99" s="594"/>
      <c r="D99" s="595"/>
      <c r="E99" s="535"/>
      <c r="F99" s="535"/>
      <c r="G99" s="584"/>
      <c r="H99" s="538"/>
      <c r="I99" s="585"/>
    </row>
    <row r="100" spans="1:9" ht="20.25" customHeight="1">
      <c r="A100" s="532"/>
      <c r="B100" s="545" t="s">
        <v>3094</v>
      </c>
      <c r="C100" s="594">
        <v>1</v>
      </c>
      <c r="D100" s="595">
        <v>1</v>
      </c>
      <c r="E100" s="535">
        <v>15</v>
      </c>
      <c r="F100" s="535" t="s">
        <v>48</v>
      </c>
      <c r="G100" s="535" t="s">
        <v>48</v>
      </c>
      <c r="H100" s="612">
        <f>PRODUCT(C100:G100)</f>
        <v>15</v>
      </c>
      <c r="I100" s="585"/>
    </row>
    <row r="101" spans="1:9" ht="20.25" customHeight="1">
      <c r="A101" s="532"/>
      <c r="B101" s="583"/>
      <c r="C101" s="594"/>
      <c r="D101" s="595"/>
      <c r="E101" s="535"/>
      <c r="F101" s="535"/>
      <c r="G101" s="584"/>
      <c r="H101" s="538"/>
      <c r="I101" s="585"/>
    </row>
    <row r="102" spans="1:9" ht="60.75" customHeight="1">
      <c r="A102" s="532">
        <v>24</v>
      </c>
      <c r="B102" s="590" t="s">
        <v>3097</v>
      </c>
      <c r="C102" s="594"/>
      <c r="D102" s="595"/>
      <c r="E102" s="535"/>
      <c r="F102" s="535"/>
      <c r="G102" s="584"/>
      <c r="H102" s="538"/>
      <c r="I102" s="585"/>
    </row>
    <row r="103" spans="1:9" ht="20.25" customHeight="1">
      <c r="A103" s="532"/>
      <c r="B103" s="545" t="s">
        <v>3098</v>
      </c>
      <c r="C103" s="594">
        <v>1</v>
      </c>
      <c r="D103" s="595">
        <v>2</v>
      </c>
      <c r="E103" s="535">
        <v>9</v>
      </c>
      <c r="F103" s="535" t="s">
        <v>48</v>
      </c>
      <c r="G103" s="535" t="s">
        <v>48</v>
      </c>
      <c r="H103" s="612">
        <f>PRODUCT(C103:G103)</f>
        <v>18</v>
      </c>
      <c r="I103" s="585"/>
    </row>
    <row r="104" spans="1:9" ht="80.25" customHeight="1">
      <c r="A104" s="674">
        <v>25</v>
      </c>
      <c r="B104" s="660" t="s">
        <v>3099</v>
      </c>
      <c r="C104" s="594"/>
      <c r="D104" s="595"/>
      <c r="E104" s="535"/>
      <c r="F104" s="535"/>
      <c r="G104" s="584"/>
      <c r="H104" s="538"/>
      <c r="I104" s="585"/>
    </row>
    <row r="105" spans="1:9" ht="20.25" customHeight="1">
      <c r="A105" s="532"/>
      <c r="B105" s="545" t="s">
        <v>3098</v>
      </c>
      <c r="C105" s="594">
        <v>1</v>
      </c>
      <c r="D105" s="595">
        <v>2</v>
      </c>
      <c r="E105" s="535">
        <v>3</v>
      </c>
      <c r="F105" s="535" t="s">
        <v>48</v>
      </c>
      <c r="G105" s="535" t="s">
        <v>48</v>
      </c>
      <c r="H105" s="612">
        <f>PRODUCT(C105:G105)</f>
        <v>6</v>
      </c>
      <c r="I105" s="585"/>
    </row>
    <row r="106" spans="1:9" ht="86.25" customHeight="1">
      <c r="A106" s="532">
        <v>26</v>
      </c>
      <c r="B106" s="662" t="s">
        <v>3100</v>
      </c>
      <c r="C106" s="594"/>
      <c r="D106" s="595"/>
      <c r="E106" s="535"/>
      <c r="F106" s="535"/>
      <c r="G106" s="584"/>
      <c r="H106" s="538"/>
      <c r="I106" s="585"/>
    </row>
    <row r="107" spans="1:9" ht="20.25" customHeight="1">
      <c r="A107" s="532"/>
      <c r="B107" s="661" t="s">
        <v>3101</v>
      </c>
      <c r="C107" s="594"/>
      <c r="D107" s="595"/>
      <c r="E107" s="535"/>
      <c r="F107" s="535"/>
      <c r="G107" s="584"/>
      <c r="H107" s="538"/>
      <c r="I107" s="585"/>
    </row>
    <row r="108" spans="1:9" ht="20.25" customHeight="1">
      <c r="A108" s="532"/>
      <c r="B108" s="583" t="s">
        <v>3102</v>
      </c>
      <c r="C108" s="594">
        <v>1</v>
      </c>
      <c r="D108" s="595">
        <v>1</v>
      </c>
      <c r="E108" s="535">
        <v>15</v>
      </c>
      <c r="F108" s="535" t="s">
        <v>48</v>
      </c>
      <c r="G108" s="535" t="s">
        <v>48</v>
      </c>
      <c r="H108" s="612">
        <f>PRODUCT(C108:G108)</f>
        <v>15</v>
      </c>
      <c r="I108" s="585"/>
    </row>
    <row r="109" spans="1:9" ht="63.75" customHeight="1">
      <c r="A109" s="532">
        <v>27</v>
      </c>
      <c r="B109" s="543" t="s">
        <v>3105</v>
      </c>
      <c r="C109" s="595"/>
      <c r="D109" s="595"/>
      <c r="E109" s="535"/>
      <c r="F109" s="535"/>
      <c r="G109" s="535"/>
      <c r="H109" s="555"/>
      <c r="I109" s="585"/>
    </row>
    <row r="110" spans="1:9">
      <c r="A110" s="532"/>
      <c r="B110" s="545" t="s">
        <v>3033</v>
      </c>
      <c r="C110" s="595">
        <v>1</v>
      </c>
      <c r="D110" s="595">
        <v>2</v>
      </c>
      <c r="E110" s="535">
        <v>1.05</v>
      </c>
      <c r="F110" s="535" t="s">
        <v>48</v>
      </c>
      <c r="G110" s="535">
        <v>1.5</v>
      </c>
      <c r="H110" s="555">
        <f t="shared" ref="H110:H113" si="9">PRODUCT(C110:G110)</f>
        <v>3.1500000000000004</v>
      </c>
      <c r="I110" s="585"/>
    </row>
    <row r="111" spans="1:9">
      <c r="A111" s="532"/>
      <c r="B111" s="545" t="s">
        <v>3034</v>
      </c>
      <c r="C111" s="595">
        <v>-1</v>
      </c>
      <c r="D111" s="595">
        <v>2</v>
      </c>
      <c r="E111" s="535">
        <v>0.6</v>
      </c>
      <c r="F111" s="535" t="s">
        <v>48</v>
      </c>
      <c r="G111" s="535">
        <v>0.8</v>
      </c>
      <c r="H111" s="555">
        <f t="shared" si="9"/>
        <v>-0.96</v>
      </c>
      <c r="I111" s="585"/>
    </row>
    <row r="112" spans="1:9">
      <c r="A112" s="532"/>
      <c r="B112" s="545" t="s">
        <v>3103</v>
      </c>
      <c r="C112" s="595">
        <v>1</v>
      </c>
      <c r="D112" s="595">
        <v>1</v>
      </c>
      <c r="E112" s="535">
        <v>1.05</v>
      </c>
      <c r="F112" s="535" t="s">
        <v>48</v>
      </c>
      <c r="G112" s="535">
        <v>0.9</v>
      </c>
      <c r="H112" s="555">
        <f t="shared" si="9"/>
        <v>0.94500000000000006</v>
      </c>
      <c r="I112" s="585"/>
    </row>
    <row r="113" spans="1:9">
      <c r="A113" s="532"/>
      <c r="B113" s="545" t="s">
        <v>3034</v>
      </c>
      <c r="C113" s="595">
        <v>-1</v>
      </c>
      <c r="D113" s="595">
        <v>1</v>
      </c>
      <c r="E113" s="535">
        <v>0.6</v>
      </c>
      <c r="F113" s="535" t="s">
        <v>48</v>
      </c>
      <c r="G113" s="535">
        <v>0.8</v>
      </c>
      <c r="H113" s="555">
        <f t="shared" si="9"/>
        <v>-0.48</v>
      </c>
      <c r="I113" s="585"/>
    </row>
    <row r="114" spans="1:9">
      <c r="A114" s="532"/>
      <c r="B114" s="545"/>
      <c r="C114" s="595"/>
      <c r="D114" s="595"/>
      <c r="E114" s="535"/>
      <c r="F114" s="535"/>
      <c r="G114" s="535"/>
      <c r="H114" s="555">
        <f>SUM(H110:H113)</f>
        <v>2.6550000000000007</v>
      </c>
      <c r="I114" s="585"/>
    </row>
    <row r="115" spans="1:9" ht="20.25" customHeight="1">
      <c r="A115" s="532"/>
      <c r="B115" s="583"/>
      <c r="C115" s="594"/>
      <c r="D115" s="595"/>
      <c r="E115" s="535"/>
      <c r="F115" s="535"/>
      <c r="G115" s="584" t="s">
        <v>3074</v>
      </c>
      <c r="H115" s="538">
        <v>2.7</v>
      </c>
      <c r="I115" s="585" t="s">
        <v>2935</v>
      </c>
    </row>
    <row r="116" spans="1:9" ht="71.25" customHeight="1">
      <c r="A116" s="532">
        <v>28</v>
      </c>
      <c r="B116" s="662" t="s">
        <v>3104</v>
      </c>
      <c r="C116" s="594"/>
      <c r="D116" s="595"/>
      <c r="E116" s="535"/>
      <c r="F116" s="535"/>
      <c r="G116" s="584"/>
      <c r="H116" s="538"/>
      <c r="I116" s="585"/>
    </row>
    <row r="117" spans="1:9" ht="20.25" customHeight="1">
      <c r="A117" s="532"/>
      <c r="B117" s="545" t="s">
        <v>3033</v>
      </c>
      <c r="C117" s="595">
        <v>1</v>
      </c>
      <c r="D117" s="595">
        <v>2</v>
      </c>
      <c r="E117" s="535">
        <v>5.0999999999999996</v>
      </c>
      <c r="F117" s="535" t="s">
        <v>48</v>
      </c>
      <c r="G117" s="535">
        <v>0.6</v>
      </c>
      <c r="H117" s="555">
        <f t="shared" ref="H117:H120" si="10">PRODUCT(C117:G117)</f>
        <v>6.1199999999999992</v>
      </c>
      <c r="I117" s="585"/>
    </row>
    <row r="118" spans="1:9" ht="20.25" customHeight="1">
      <c r="A118" s="532"/>
      <c r="B118" s="545" t="s">
        <v>3106</v>
      </c>
      <c r="C118" s="595">
        <v>-1</v>
      </c>
      <c r="D118" s="595">
        <v>2</v>
      </c>
      <c r="E118" s="535">
        <v>0.75</v>
      </c>
      <c r="F118" s="535" t="s">
        <v>48</v>
      </c>
      <c r="G118" s="535">
        <v>0.6</v>
      </c>
      <c r="H118" s="555">
        <f t="shared" si="10"/>
        <v>-0.89999999999999991</v>
      </c>
      <c r="I118" s="585"/>
    </row>
    <row r="119" spans="1:9" ht="20.25" customHeight="1">
      <c r="A119" s="532"/>
      <c r="B119" s="545" t="s">
        <v>3103</v>
      </c>
      <c r="C119" s="595">
        <v>1</v>
      </c>
      <c r="D119" s="595">
        <v>1</v>
      </c>
      <c r="E119" s="535">
        <v>5.9</v>
      </c>
      <c r="F119" s="535" t="s">
        <v>48</v>
      </c>
      <c r="G119" s="535">
        <v>0.9</v>
      </c>
      <c r="H119" s="555">
        <f t="shared" si="10"/>
        <v>5.3100000000000005</v>
      </c>
      <c r="I119" s="585"/>
    </row>
    <row r="120" spans="1:9" ht="20.25" customHeight="1">
      <c r="A120" s="532"/>
      <c r="B120" s="545" t="s">
        <v>3034</v>
      </c>
      <c r="C120" s="595">
        <v>-1</v>
      </c>
      <c r="D120" s="595">
        <v>1</v>
      </c>
      <c r="E120" s="535">
        <v>0.75</v>
      </c>
      <c r="F120" s="535" t="s">
        <v>48</v>
      </c>
      <c r="G120" s="535">
        <v>0.9</v>
      </c>
      <c r="H120" s="555">
        <f t="shared" si="10"/>
        <v>-0.67500000000000004</v>
      </c>
      <c r="I120" s="585"/>
    </row>
    <row r="121" spans="1:9" ht="20.25" customHeight="1">
      <c r="A121" s="532"/>
      <c r="B121" s="583"/>
      <c r="C121" s="594"/>
      <c r="D121" s="595"/>
      <c r="E121" s="535"/>
      <c r="F121" s="535"/>
      <c r="G121" s="584"/>
      <c r="H121" s="536">
        <f>SUM(H117:H120)</f>
        <v>9.8549999999999986</v>
      </c>
      <c r="I121" s="585"/>
    </row>
    <row r="122" spans="1:9" ht="20.25" customHeight="1">
      <c r="A122" s="532"/>
      <c r="B122" s="583"/>
      <c r="C122" s="594"/>
      <c r="D122" s="595"/>
      <c r="E122" s="535"/>
      <c r="F122" s="535"/>
      <c r="G122" s="584" t="s">
        <v>2831</v>
      </c>
      <c r="H122" s="538">
        <v>9.9</v>
      </c>
      <c r="I122" s="585" t="s">
        <v>2935</v>
      </c>
    </row>
    <row r="123" spans="1:9" s="541" customFormat="1" ht="37.5" customHeight="1">
      <c r="A123" s="663">
        <v>29</v>
      </c>
      <c r="B123" s="547" t="s">
        <v>2955</v>
      </c>
      <c r="C123" s="596"/>
      <c r="D123" s="596"/>
      <c r="E123" s="540"/>
      <c r="F123" s="540"/>
      <c r="G123" s="540"/>
      <c r="H123" s="536"/>
      <c r="I123" s="587"/>
    </row>
    <row r="124" spans="1:9" s="592" customFormat="1">
      <c r="A124" s="591"/>
      <c r="B124" s="537" t="s">
        <v>2936</v>
      </c>
      <c r="C124" s="594">
        <v>1</v>
      </c>
      <c r="D124" s="595">
        <v>1</v>
      </c>
      <c r="E124" s="535">
        <v>4.5999999999999996</v>
      </c>
      <c r="F124" s="535">
        <v>3.05</v>
      </c>
      <c r="G124" s="535" t="s">
        <v>48</v>
      </c>
      <c r="H124" s="536">
        <f>PRODUCT(E124:G124)</f>
        <v>14.029999999999998</v>
      </c>
      <c r="I124" s="618"/>
    </row>
    <row r="125" spans="1:9" s="592" customFormat="1">
      <c r="A125" s="591"/>
      <c r="B125" s="537" t="s">
        <v>2975</v>
      </c>
      <c r="C125" s="594">
        <v>1</v>
      </c>
      <c r="D125" s="595">
        <v>1</v>
      </c>
      <c r="E125" s="535">
        <v>15.3</v>
      </c>
      <c r="F125" s="535" t="s">
        <v>48</v>
      </c>
      <c r="G125" s="535">
        <v>0.1</v>
      </c>
      <c r="H125" s="536">
        <f>PRODUCT(C125:G125)</f>
        <v>1.5300000000000002</v>
      </c>
      <c r="I125" s="618"/>
    </row>
    <row r="126" spans="1:9" s="541" customFormat="1" ht="23.25" customHeight="1">
      <c r="A126" s="663"/>
      <c r="B126" s="537" t="s">
        <v>2937</v>
      </c>
      <c r="C126" s="594">
        <v>1</v>
      </c>
      <c r="D126" s="595">
        <v>1</v>
      </c>
      <c r="E126" s="535">
        <v>4.5999999999999996</v>
      </c>
      <c r="F126" s="535">
        <v>3.05</v>
      </c>
      <c r="G126" s="535" t="s">
        <v>48</v>
      </c>
      <c r="H126" s="536">
        <f>PRODUCT(C126:G126)</f>
        <v>14.029999999999998</v>
      </c>
      <c r="I126" s="587"/>
    </row>
    <row r="127" spans="1:9" s="592" customFormat="1">
      <c r="A127" s="591"/>
      <c r="B127" s="537" t="s">
        <v>2975</v>
      </c>
      <c r="C127" s="594">
        <v>1</v>
      </c>
      <c r="D127" s="595">
        <v>1</v>
      </c>
      <c r="E127" s="535">
        <v>15.3</v>
      </c>
      <c r="F127" s="535" t="s">
        <v>48</v>
      </c>
      <c r="G127" s="535">
        <v>0.1</v>
      </c>
      <c r="H127" s="536">
        <f>PRODUCT(C127:G127)</f>
        <v>1.5300000000000002</v>
      </c>
      <c r="I127" s="618"/>
    </row>
    <row r="128" spans="1:9" s="541" customFormat="1" ht="23.25" customHeight="1">
      <c r="A128" s="663"/>
      <c r="B128" s="542" t="s">
        <v>2941</v>
      </c>
      <c r="C128" s="596">
        <v>1</v>
      </c>
      <c r="D128" s="596">
        <v>1</v>
      </c>
      <c r="E128" s="540">
        <v>6.5</v>
      </c>
      <c r="F128" s="540">
        <v>1.6</v>
      </c>
      <c r="G128" s="535" t="s">
        <v>48</v>
      </c>
      <c r="H128" s="536">
        <f>PRODUCT(E128:G128)</f>
        <v>10.4</v>
      </c>
      <c r="I128" s="587"/>
    </row>
    <row r="129" spans="1:9" s="541" customFormat="1" ht="23.25" customHeight="1">
      <c r="A129" s="663"/>
      <c r="B129" s="542" t="s">
        <v>2976</v>
      </c>
      <c r="C129" s="596">
        <v>1</v>
      </c>
      <c r="D129" s="596">
        <v>1</v>
      </c>
      <c r="E129" s="540">
        <v>16.2</v>
      </c>
      <c r="F129" s="540" t="s">
        <v>48</v>
      </c>
      <c r="G129" s="535">
        <v>0.1</v>
      </c>
      <c r="H129" s="536">
        <f>PRODUCT(E129:G129)</f>
        <v>1.62</v>
      </c>
      <c r="I129" s="587"/>
    </row>
    <row r="130" spans="1:9" s="541" customFormat="1" ht="23.25" customHeight="1">
      <c r="A130" s="663"/>
      <c r="B130" s="542"/>
      <c r="C130" s="596"/>
      <c r="D130" s="596"/>
      <c r="E130" s="540"/>
      <c r="F130" s="540"/>
      <c r="G130" s="540"/>
      <c r="H130" s="536">
        <f>SUM(H124:H129)</f>
        <v>43.139999999999993</v>
      </c>
      <c r="I130" s="585"/>
    </row>
    <row r="131" spans="1:9" ht="20.25" customHeight="1">
      <c r="A131" s="532"/>
      <c r="B131" s="583"/>
      <c r="C131" s="594"/>
      <c r="D131" s="595"/>
      <c r="E131" s="535"/>
      <c r="F131" s="535"/>
      <c r="G131" s="584" t="s">
        <v>2831</v>
      </c>
      <c r="H131" s="538">
        <v>43.2</v>
      </c>
      <c r="I131" s="585" t="s">
        <v>2935</v>
      </c>
    </row>
    <row r="132" spans="1:9" ht="78" customHeight="1">
      <c r="A132" s="532">
        <v>30</v>
      </c>
      <c r="B132" s="626" t="s">
        <v>3028</v>
      </c>
      <c r="C132" s="595"/>
      <c r="D132" s="595"/>
      <c r="E132" s="535"/>
      <c r="F132" s="535"/>
      <c r="G132" s="535"/>
      <c r="H132" s="555"/>
      <c r="I132" s="585"/>
    </row>
    <row r="133" spans="1:9">
      <c r="A133" s="532"/>
      <c r="B133" s="545" t="s">
        <v>3109</v>
      </c>
      <c r="C133" s="595">
        <v>1</v>
      </c>
      <c r="D133" s="595">
        <v>3</v>
      </c>
      <c r="E133" s="535" t="s">
        <v>48</v>
      </c>
      <c r="F133" s="535" t="s">
        <v>48</v>
      </c>
      <c r="G133" s="535" t="s">
        <v>48</v>
      </c>
      <c r="H133" s="538">
        <f>C133*D133</f>
        <v>3</v>
      </c>
      <c r="I133" s="585" t="s">
        <v>969</v>
      </c>
    </row>
    <row r="134" spans="1:9" ht="124.5" customHeight="1">
      <c r="A134" s="532">
        <v>31</v>
      </c>
      <c r="B134" s="608" t="s">
        <v>3111</v>
      </c>
      <c r="C134" s="594"/>
      <c r="D134" s="595"/>
      <c r="E134" s="535"/>
      <c r="F134" s="535"/>
      <c r="G134" s="535"/>
      <c r="H134" s="555"/>
      <c r="I134" s="585"/>
    </row>
    <row r="135" spans="1:9">
      <c r="A135" s="532"/>
      <c r="B135" s="548" t="s">
        <v>3107</v>
      </c>
      <c r="C135" s="594">
        <v>1</v>
      </c>
      <c r="D135" s="595">
        <v>7</v>
      </c>
      <c r="E135" s="535" t="s">
        <v>48</v>
      </c>
      <c r="F135" s="535" t="s">
        <v>48</v>
      </c>
      <c r="G135" s="535" t="s">
        <v>48</v>
      </c>
      <c r="H135" s="605">
        <f>PRODUCT(C135:G135)</f>
        <v>7</v>
      </c>
      <c r="I135" s="586"/>
    </row>
    <row r="136" spans="1:9">
      <c r="A136" s="532"/>
      <c r="B136" s="554"/>
      <c r="C136" s="594"/>
      <c r="D136" s="595"/>
      <c r="E136" s="535"/>
      <c r="F136" s="535"/>
      <c r="G136" s="552"/>
      <c r="H136" s="539">
        <f>SUM(H135:H135)</f>
        <v>7</v>
      </c>
      <c r="I136" s="586" t="s">
        <v>969</v>
      </c>
    </row>
    <row r="137" spans="1:9" ht="64.5" customHeight="1">
      <c r="A137" s="532">
        <v>32</v>
      </c>
      <c r="B137" s="609" t="s">
        <v>3110</v>
      </c>
      <c r="C137" s="594"/>
      <c r="D137" s="595"/>
      <c r="E137" s="535"/>
      <c r="F137" s="535"/>
      <c r="G137" s="535"/>
      <c r="H137" s="555"/>
      <c r="I137" s="586"/>
    </row>
    <row r="138" spans="1:9">
      <c r="A138" s="532"/>
      <c r="B138" s="548" t="s">
        <v>3107</v>
      </c>
      <c r="C138" s="594">
        <v>1</v>
      </c>
      <c r="D138" s="595">
        <v>7</v>
      </c>
      <c r="E138" s="535" t="s">
        <v>48</v>
      </c>
      <c r="F138" s="535" t="s">
        <v>48</v>
      </c>
      <c r="G138" s="535" t="s">
        <v>48</v>
      </c>
      <c r="H138" s="605">
        <f>PRODUCT(C138:G138)</f>
        <v>7</v>
      </c>
      <c r="I138" s="586"/>
    </row>
    <row r="139" spans="1:9" ht="37.5">
      <c r="A139" s="532"/>
      <c r="B139" s="548" t="s">
        <v>3108</v>
      </c>
      <c r="C139" s="594">
        <v>1</v>
      </c>
      <c r="D139" s="595">
        <v>4</v>
      </c>
      <c r="E139" s="535" t="s">
        <v>48</v>
      </c>
      <c r="F139" s="535" t="s">
        <v>48</v>
      </c>
      <c r="G139" s="535" t="s">
        <v>48</v>
      </c>
      <c r="H139" s="605">
        <f>PRODUCT(C139:G139)</f>
        <v>4</v>
      </c>
      <c r="I139" s="586"/>
    </row>
    <row r="140" spans="1:9">
      <c r="A140" s="532"/>
      <c r="B140" s="554"/>
      <c r="C140" s="594"/>
      <c r="D140" s="595"/>
      <c r="E140" s="535"/>
      <c r="F140" s="535"/>
      <c r="G140" s="552"/>
      <c r="H140" s="539">
        <f>SUM(H138:H139)</f>
        <v>11</v>
      </c>
      <c r="I140" s="586" t="s">
        <v>969</v>
      </c>
    </row>
    <row r="141" spans="1:9" ht="75">
      <c r="A141" s="532">
        <v>33</v>
      </c>
      <c r="B141" s="608" t="s">
        <v>2945</v>
      </c>
      <c r="C141" s="594"/>
      <c r="D141" s="595"/>
      <c r="E141" s="535"/>
      <c r="F141" s="535"/>
      <c r="G141" s="535"/>
      <c r="H141" s="538"/>
      <c r="I141" s="586"/>
    </row>
    <row r="142" spans="1:9" ht="37.5">
      <c r="A142" s="532"/>
      <c r="B142" s="548" t="s">
        <v>3112</v>
      </c>
      <c r="C142" s="594">
        <v>1</v>
      </c>
      <c r="D142" s="595">
        <v>5</v>
      </c>
      <c r="E142" s="535" t="s">
        <v>48</v>
      </c>
      <c r="F142" s="535" t="s">
        <v>48</v>
      </c>
      <c r="G142" s="535" t="s">
        <v>48</v>
      </c>
      <c r="H142" s="607">
        <f>PRODUCT(C142:G142)</f>
        <v>5</v>
      </c>
      <c r="I142" s="586" t="s">
        <v>969</v>
      </c>
    </row>
    <row r="143" spans="1:9">
      <c r="A143" s="532"/>
      <c r="B143" s="545"/>
      <c r="C143" s="595"/>
      <c r="D143" s="595"/>
      <c r="E143" s="535"/>
      <c r="F143" s="535"/>
      <c r="G143" s="535"/>
      <c r="H143" s="555"/>
      <c r="I143" s="585"/>
    </row>
    <row r="144" spans="1:9" ht="116.25" customHeight="1">
      <c r="A144" s="532">
        <v>34</v>
      </c>
      <c r="B144" s="547" t="s">
        <v>3113</v>
      </c>
      <c r="C144" s="594"/>
      <c r="D144" s="595"/>
      <c r="E144" s="535"/>
      <c r="F144" s="535"/>
      <c r="G144" s="584"/>
      <c r="H144" s="538"/>
      <c r="I144" s="585"/>
    </row>
    <row r="145" spans="1:9" ht="20.25" customHeight="1">
      <c r="A145" s="532"/>
      <c r="B145" s="547" t="s">
        <v>3114</v>
      </c>
      <c r="C145" s="594"/>
      <c r="D145" s="595"/>
      <c r="E145" s="535"/>
      <c r="F145" s="535"/>
      <c r="G145" s="584"/>
      <c r="H145" s="538"/>
      <c r="I145" s="585"/>
    </row>
    <row r="146" spans="1:9" ht="20.25" customHeight="1">
      <c r="A146" s="532"/>
      <c r="B146" s="548" t="s">
        <v>3112</v>
      </c>
      <c r="C146" s="594">
        <v>1</v>
      </c>
      <c r="D146" s="595">
        <v>5</v>
      </c>
      <c r="E146" s="535" t="s">
        <v>48</v>
      </c>
      <c r="F146" s="535" t="s">
        <v>48</v>
      </c>
      <c r="G146" s="535" t="s">
        <v>48</v>
      </c>
      <c r="H146" s="607">
        <f>PRODUCT(C146:G146)</f>
        <v>5</v>
      </c>
      <c r="I146" s="585"/>
    </row>
    <row r="147" spans="1:9" ht="20.25" customHeight="1">
      <c r="A147" s="532"/>
      <c r="B147" s="542"/>
      <c r="C147" s="594"/>
      <c r="D147" s="595"/>
      <c r="E147" s="535"/>
      <c r="F147" s="535"/>
      <c r="G147" s="584"/>
      <c r="H147" s="538"/>
      <c r="I147" s="585"/>
    </row>
    <row r="148" spans="1:9" ht="20.25" customHeight="1">
      <c r="A148" s="532"/>
      <c r="B148" s="547" t="s">
        <v>3115</v>
      </c>
      <c r="C148" s="594"/>
      <c r="D148" s="595"/>
      <c r="E148" s="535"/>
      <c r="F148" s="535"/>
      <c r="G148" s="584"/>
      <c r="H148" s="538"/>
      <c r="I148" s="585"/>
    </row>
    <row r="149" spans="1:9" ht="20.25" customHeight="1">
      <c r="A149" s="532"/>
      <c r="B149" s="548" t="s">
        <v>3107</v>
      </c>
      <c r="C149" s="594">
        <v>1</v>
      </c>
      <c r="D149" s="595">
        <v>7</v>
      </c>
      <c r="E149" s="535" t="s">
        <v>48</v>
      </c>
      <c r="F149" s="535" t="s">
        <v>48</v>
      </c>
      <c r="G149" s="535" t="s">
        <v>48</v>
      </c>
      <c r="H149" s="605">
        <f>PRODUCT(C149:G149)</f>
        <v>7</v>
      </c>
      <c r="I149" s="585"/>
    </row>
    <row r="150" spans="1:9" ht="20.25" customHeight="1">
      <c r="A150" s="532"/>
      <c r="B150" s="548" t="s">
        <v>3108</v>
      </c>
      <c r="C150" s="594">
        <v>1</v>
      </c>
      <c r="D150" s="595">
        <v>4</v>
      </c>
      <c r="E150" s="535" t="s">
        <v>48</v>
      </c>
      <c r="F150" s="535" t="s">
        <v>48</v>
      </c>
      <c r="G150" s="535" t="s">
        <v>48</v>
      </c>
      <c r="H150" s="605">
        <f>PRODUCT(C150:G150)</f>
        <v>4</v>
      </c>
      <c r="I150" s="585"/>
    </row>
    <row r="151" spans="1:9" ht="20.25" customHeight="1">
      <c r="A151" s="532"/>
      <c r="B151" s="583"/>
      <c r="C151" s="594"/>
      <c r="D151" s="595"/>
      <c r="E151" s="535"/>
      <c r="F151" s="535"/>
      <c r="G151" s="584"/>
      <c r="H151" s="538">
        <f>SUM(H149:H150)</f>
        <v>11</v>
      </c>
      <c r="I151" s="585"/>
    </row>
    <row r="152" spans="1:9" ht="110.25" customHeight="1">
      <c r="A152" s="532">
        <v>35</v>
      </c>
      <c r="B152" s="547" t="s">
        <v>3116</v>
      </c>
      <c r="C152" s="594"/>
      <c r="D152" s="595"/>
      <c r="E152" s="535"/>
      <c r="F152" s="535"/>
      <c r="G152" s="584"/>
      <c r="H152" s="538"/>
      <c r="I152" s="585"/>
    </row>
    <row r="153" spans="1:9" ht="20.25" customHeight="1">
      <c r="A153" s="532"/>
      <c r="B153" s="545" t="s">
        <v>3117</v>
      </c>
      <c r="C153" s="594">
        <v>1</v>
      </c>
      <c r="D153" s="595">
        <v>7</v>
      </c>
      <c r="E153" s="535" t="s">
        <v>48</v>
      </c>
      <c r="F153" s="535" t="s">
        <v>48</v>
      </c>
      <c r="G153" s="535" t="s">
        <v>48</v>
      </c>
      <c r="H153" s="605">
        <f>PRODUCT(C153:G153)</f>
        <v>7</v>
      </c>
      <c r="I153" s="585"/>
    </row>
    <row r="154" spans="1:9" ht="20.25" customHeight="1">
      <c r="A154" s="532"/>
      <c r="B154" s="583" t="s">
        <v>3118</v>
      </c>
      <c r="C154" s="594">
        <v>1</v>
      </c>
      <c r="D154" s="595">
        <v>2</v>
      </c>
      <c r="E154" s="535" t="s">
        <v>48</v>
      </c>
      <c r="F154" s="535" t="s">
        <v>48</v>
      </c>
      <c r="G154" s="535" t="s">
        <v>48</v>
      </c>
      <c r="H154" s="605">
        <f>PRODUCT(C154:G154)</f>
        <v>2</v>
      </c>
      <c r="I154" s="585"/>
    </row>
    <row r="155" spans="1:9" ht="20.25" customHeight="1">
      <c r="A155" s="532"/>
      <c r="B155" s="583"/>
      <c r="C155" s="594"/>
      <c r="D155" s="595"/>
      <c r="E155" s="535"/>
      <c r="F155" s="535"/>
      <c r="G155" s="584"/>
      <c r="H155" s="538">
        <f>SUM(H153:H154)</f>
        <v>9</v>
      </c>
      <c r="I155" s="585"/>
    </row>
    <row r="156" spans="1:9" ht="59.25" customHeight="1">
      <c r="A156" s="532">
        <v>36</v>
      </c>
      <c r="B156" s="547" t="s">
        <v>3119</v>
      </c>
      <c r="C156" s="594"/>
      <c r="D156" s="595"/>
      <c r="E156" s="535"/>
      <c r="F156" s="535"/>
      <c r="G156" s="584"/>
      <c r="H156" s="538"/>
      <c r="I156" s="585"/>
    </row>
    <row r="157" spans="1:9" ht="20.25" customHeight="1">
      <c r="A157" s="532"/>
      <c r="B157" s="545" t="s">
        <v>3117</v>
      </c>
      <c r="C157" s="594">
        <v>1</v>
      </c>
      <c r="D157" s="595">
        <v>7</v>
      </c>
      <c r="E157" s="535" t="s">
        <v>48</v>
      </c>
      <c r="F157" s="535" t="s">
        <v>48</v>
      </c>
      <c r="G157" s="535" t="s">
        <v>48</v>
      </c>
      <c r="H157" s="605">
        <f>PRODUCT(C157:G157)</f>
        <v>7</v>
      </c>
      <c r="I157" s="585"/>
    </row>
    <row r="158" spans="1:9" ht="20.25" customHeight="1">
      <c r="A158" s="532"/>
      <c r="B158" s="583" t="s">
        <v>3118</v>
      </c>
      <c r="C158" s="594">
        <v>1</v>
      </c>
      <c r="D158" s="595">
        <v>2</v>
      </c>
      <c r="E158" s="535" t="s">
        <v>48</v>
      </c>
      <c r="F158" s="535" t="s">
        <v>48</v>
      </c>
      <c r="G158" s="535" t="s">
        <v>48</v>
      </c>
      <c r="H158" s="605">
        <f>PRODUCT(C158:G158)</f>
        <v>2</v>
      </c>
      <c r="I158" s="585"/>
    </row>
    <row r="159" spans="1:9">
      <c r="A159" s="532"/>
      <c r="B159" s="583"/>
      <c r="C159" s="594"/>
      <c r="D159" s="595"/>
      <c r="E159" s="535"/>
      <c r="F159" s="535"/>
      <c r="G159" s="584"/>
      <c r="H159" s="538">
        <f>SUM(H157:H158)</f>
        <v>9</v>
      </c>
      <c r="I159" s="585"/>
    </row>
    <row r="160" spans="1:9" s="541" customFormat="1" ht="42" customHeight="1">
      <c r="A160" s="663">
        <v>37</v>
      </c>
      <c r="B160" s="593" t="s">
        <v>2954</v>
      </c>
      <c r="C160" s="596"/>
      <c r="D160" s="596"/>
      <c r="E160" s="540"/>
      <c r="F160" s="540"/>
      <c r="G160" s="540"/>
      <c r="H160" s="538"/>
      <c r="I160" s="587"/>
    </row>
    <row r="161" spans="1:10" s="541" customFormat="1" ht="20.100000000000001" customHeight="1">
      <c r="A161" s="663"/>
      <c r="B161" s="616" t="s">
        <v>3122</v>
      </c>
      <c r="C161" s="596"/>
      <c r="D161" s="596"/>
      <c r="E161" s="540"/>
      <c r="F161" s="540"/>
      <c r="G161" s="540"/>
      <c r="H161" s="538"/>
      <c r="I161" s="587"/>
    </row>
    <row r="162" spans="1:10" s="541" customFormat="1" ht="20.100000000000001" customHeight="1">
      <c r="A162" s="663"/>
      <c r="B162" s="664" t="s">
        <v>3123</v>
      </c>
      <c r="C162" s="596">
        <v>3</v>
      </c>
      <c r="D162" s="596">
        <v>2</v>
      </c>
      <c r="E162" s="540">
        <v>4.8</v>
      </c>
      <c r="F162" s="540"/>
      <c r="G162" s="540">
        <v>3.8</v>
      </c>
      <c r="H162" s="536">
        <f>PRODUCT(C162:G162)</f>
        <v>109.43999999999998</v>
      </c>
      <c r="I162" s="587"/>
    </row>
    <row r="163" spans="1:10" s="541" customFormat="1" ht="20.100000000000001" customHeight="1">
      <c r="A163" s="663"/>
      <c r="B163" s="664" t="s">
        <v>3124</v>
      </c>
      <c r="C163" s="596">
        <v>3</v>
      </c>
      <c r="D163" s="596">
        <v>2</v>
      </c>
      <c r="E163" s="540">
        <v>4.5</v>
      </c>
      <c r="F163" s="540"/>
      <c r="G163" s="540" t="s">
        <v>3125</v>
      </c>
      <c r="H163" s="536">
        <f>J163*E163*D163*C163</f>
        <v>118.80000000000001</v>
      </c>
      <c r="I163" s="587"/>
      <c r="J163" s="541">
        <f>(3.8+5)/2</f>
        <v>4.4000000000000004</v>
      </c>
    </row>
    <row r="164" spans="1:10" s="541" customFormat="1" ht="20.100000000000001" customHeight="1">
      <c r="A164" s="663"/>
      <c r="B164" s="545" t="s">
        <v>2939</v>
      </c>
      <c r="C164" s="597">
        <v>-1</v>
      </c>
      <c r="D164" s="597">
        <v>3</v>
      </c>
      <c r="E164" s="546">
        <v>1</v>
      </c>
      <c r="F164" s="546" t="s">
        <v>48</v>
      </c>
      <c r="G164" s="546">
        <v>2.1</v>
      </c>
      <c r="H164" s="536">
        <f t="shared" ref="H164:H226" si="11">PRODUCT(C164:G164)</f>
        <v>-6.3000000000000007</v>
      </c>
      <c r="I164" s="587"/>
    </row>
    <row r="165" spans="1:10" s="541" customFormat="1" ht="20.100000000000001" customHeight="1">
      <c r="A165" s="663"/>
      <c r="B165" s="545" t="s">
        <v>2940</v>
      </c>
      <c r="C165" s="597">
        <v>-3</v>
      </c>
      <c r="D165" s="597">
        <v>2</v>
      </c>
      <c r="E165" s="546">
        <v>0.6</v>
      </c>
      <c r="F165" s="546" t="s">
        <v>48</v>
      </c>
      <c r="G165" s="546">
        <v>0.45</v>
      </c>
      <c r="H165" s="536">
        <f t="shared" si="11"/>
        <v>-1.6199999999999999</v>
      </c>
      <c r="I165" s="587"/>
    </row>
    <row r="166" spans="1:10" s="541" customFormat="1" ht="20.100000000000001" customHeight="1">
      <c r="A166" s="663"/>
      <c r="B166" s="616" t="s">
        <v>3126</v>
      </c>
      <c r="C166" s="596"/>
      <c r="D166" s="596"/>
      <c r="E166" s="540"/>
      <c r="F166" s="540"/>
      <c r="G166" s="540"/>
      <c r="H166" s="536">
        <f t="shared" si="11"/>
        <v>0</v>
      </c>
      <c r="I166" s="587"/>
    </row>
    <row r="167" spans="1:10" s="541" customFormat="1" ht="20.100000000000001" customHeight="1">
      <c r="A167" s="663"/>
      <c r="B167" s="664" t="s">
        <v>3123</v>
      </c>
      <c r="C167" s="596">
        <v>2</v>
      </c>
      <c r="D167" s="596">
        <v>2</v>
      </c>
      <c r="E167" s="540">
        <v>2.4</v>
      </c>
      <c r="F167" s="540"/>
      <c r="G167" s="540">
        <v>3.8</v>
      </c>
      <c r="H167" s="536">
        <f t="shared" si="11"/>
        <v>36.479999999999997</v>
      </c>
      <c r="I167" s="587"/>
    </row>
    <row r="168" spans="1:10" s="541" customFormat="1" ht="20.100000000000001" customHeight="1">
      <c r="A168" s="663"/>
      <c r="B168" s="664" t="s">
        <v>3124</v>
      </c>
      <c r="C168" s="596">
        <v>2</v>
      </c>
      <c r="D168" s="596">
        <v>2</v>
      </c>
      <c r="E168" s="540">
        <v>4.5</v>
      </c>
      <c r="F168" s="540"/>
      <c r="G168" s="540" t="s">
        <v>3125</v>
      </c>
      <c r="H168" s="536">
        <f>J163*E168*D168*C168</f>
        <v>79.2</v>
      </c>
      <c r="I168" s="587"/>
    </row>
    <row r="169" spans="1:10" s="541" customFormat="1" ht="20.100000000000001" customHeight="1">
      <c r="A169" s="663"/>
      <c r="B169" s="545" t="s">
        <v>2939</v>
      </c>
      <c r="C169" s="597">
        <v>-1</v>
      </c>
      <c r="D169" s="597">
        <v>2</v>
      </c>
      <c r="E169" s="546">
        <v>1</v>
      </c>
      <c r="F169" s="546" t="s">
        <v>48</v>
      </c>
      <c r="G169" s="546">
        <v>2.1</v>
      </c>
      <c r="H169" s="536">
        <f t="shared" si="11"/>
        <v>-4.2</v>
      </c>
      <c r="I169" s="587"/>
    </row>
    <row r="170" spans="1:10" s="541" customFormat="1" ht="20.100000000000001" customHeight="1">
      <c r="A170" s="663"/>
      <c r="B170" s="545" t="s">
        <v>2940</v>
      </c>
      <c r="C170" s="597">
        <v>-2</v>
      </c>
      <c r="D170" s="597">
        <v>2</v>
      </c>
      <c r="E170" s="546">
        <v>0.6</v>
      </c>
      <c r="F170" s="546" t="s">
        <v>48</v>
      </c>
      <c r="G170" s="546">
        <v>0.45</v>
      </c>
      <c r="H170" s="536">
        <f t="shared" si="11"/>
        <v>-1.08</v>
      </c>
      <c r="I170" s="587"/>
    </row>
    <row r="171" spans="1:10" s="541" customFormat="1" ht="20.100000000000001" customHeight="1">
      <c r="A171" s="663"/>
      <c r="B171" s="616" t="s">
        <v>3127</v>
      </c>
      <c r="C171" s="596"/>
      <c r="D171" s="596"/>
      <c r="E171" s="540"/>
      <c r="F171" s="540"/>
      <c r="G171" s="540"/>
      <c r="H171" s="536">
        <f t="shared" si="11"/>
        <v>0</v>
      </c>
      <c r="I171" s="587"/>
    </row>
    <row r="172" spans="1:10" s="541" customFormat="1" ht="20.100000000000001" customHeight="1">
      <c r="A172" s="663"/>
      <c r="B172" s="537" t="s">
        <v>3128</v>
      </c>
      <c r="C172" s="598">
        <v>1</v>
      </c>
      <c r="D172" s="598">
        <v>2</v>
      </c>
      <c r="E172" s="546">
        <v>15.7</v>
      </c>
      <c r="F172" s="546" t="s">
        <v>48</v>
      </c>
      <c r="G172" s="546">
        <v>3.4</v>
      </c>
      <c r="H172" s="536">
        <f t="shared" si="11"/>
        <v>106.75999999999999</v>
      </c>
      <c r="I172" s="587"/>
    </row>
    <row r="173" spans="1:10" s="541" customFormat="1" ht="20.100000000000001" customHeight="1">
      <c r="A173" s="663"/>
      <c r="B173" s="545" t="s">
        <v>2938</v>
      </c>
      <c r="C173" s="597">
        <v>1</v>
      </c>
      <c r="D173" s="597">
        <v>2</v>
      </c>
      <c r="E173" s="546">
        <v>3.15</v>
      </c>
      <c r="F173" s="546" t="s">
        <v>48</v>
      </c>
      <c r="G173" s="546">
        <v>1.5</v>
      </c>
      <c r="H173" s="536">
        <f t="shared" si="11"/>
        <v>9.4499999999999993</v>
      </c>
      <c r="I173" s="587"/>
    </row>
    <row r="174" spans="1:10" s="541" customFormat="1" ht="20.100000000000001" customHeight="1">
      <c r="A174" s="663"/>
      <c r="B174" s="545" t="s">
        <v>2939</v>
      </c>
      <c r="C174" s="597">
        <v>-1</v>
      </c>
      <c r="D174" s="597">
        <v>2</v>
      </c>
      <c r="E174" s="546">
        <v>1</v>
      </c>
      <c r="F174" s="546" t="s">
        <v>48</v>
      </c>
      <c r="G174" s="546">
        <v>2.1</v>
      </c>
      <c r="H174" s="536">
        <f t="shared" si="11"/>
        <v>-4.2</v>
      </c>
      <c r="I174" s="587"/>
    </row>
    <row r="175" spans="1:10" s="541" customFormat="1" ht="20.100000000000001" customHeight="1">
      <c r="A175" s="663"/>
      <c r="B175" s="545" t="s">
        <v>2940</v>
      </c>
      <c r="C175" s="597">
        <v>-2</v>
      </c>
      <c r="D175" s="597">
        <v>2</v>
      </c>
      <c r="E175" s="546">
        <v>0.6</v>
      </c>
      <c r="F175" s="546" t="s">
        <v>48</v>
      </c>
      <c r="G175" s="546">
        <v>0.45</v>
      </c>
      <c r="H175" s="536">
        <f t="shared" si="11"/>
        <v>-1.08</v>
      </c>
      <c r="I175" s="587"/>
    </row>
    <row r="176" spans="1:10" ht="18.75" customHeight="1">
      <c r="A176" s="532"/>
      <c r="B176" s="548" t="s">
        <v>3120</v>
      </c>
      <c r="C176" s="594">
        <v>1</v>
      </c>
      <c r="D176" s="595">
        <v>2</v>
      </c>
      <c r="E176" s="535">
        <v>1.6</v>
      </c>
      <c r="F176" s="535" t="s">
        <v>48</v>
      </c>
      <c r="G176" s="603">
        <v>3.3</v>
      </c>
      <c r="H176" s="536">
        <f t="shared" si="11"/>
        <v>10.56</v>
      </c>
      <c r="I176" s="585"/>
    </row>
    <row r="177" spans="1:13" ht="23.1" customHeight="1">
      <c r="A177" s="532"/>
      <c r="B177" s="548" t="s">
        <v>3121</v>
      </c>
      <c r="C177" s="594">
        <v>1</v>
      </c>
      <c r="D177" s="595">
        <v>2</v>
      </c>
      <c r="E177" s="535">
        <v>6.5</v>
      </c>
      <c r="F177" s="535" t="s">
        <v>48</v>
      </c>
      <c r="G177" s="602">
        <v>3.3</v>
      </c>
      <c r="H177" s="536">
        <f t="shared" si="11"/>
        <v>42.9</v>
      </c>
      <c r="I177" s="585"/>
    </row>
    <row r="178" spans="1:13" ht="18" customHeight="1">
      <c r="A178" s="532"/>
      <c r="B178" s="548" t="s">
        <v>3121</v>
      </c>
      <c r="C178" s="604">
        <v>0.5</v>
      </c>
      <c r="D178" s="595">
        <v>2</v>
      </c>
      <c r="E178" s="535">
        <v>6.5</v>
      </c>
      <c r="F178" s="535" t="s">
        <v>48</v>
      </c>
      <c r="G178" s="602">
        <v>0.2</v>
      </c>
      <c r="H178" s="536">
        <f t="shared" si="11"/>
        <v>1.3</v>
      </c>
      <c r="I178" s="585"/>
      <c r="K178" s="531" t="s">
        <v>2932</v>
      </c>
    </row>
    <row r="179" spans="1:13">
      <c r="A179" s="532"/>
      <c r="B179" s="545" t="s">
        <v>2939</v>
      </c>
      <c r="C179" s="597">
        <v>-1</v>
      </c>
      <c r="D179" s="597">
        <v>3</v>
      </c>
      <c r="E179" s="546">
        <v>1</v>
      </c>
      <c r="F179" s="546" t="s">
        <v>48</v>
      </c>
      <c r="G179" s="546">
        <v>2.1</v>
      </c>
      <c r="H179" s="536">
        <f t="shared" si="11"/>
        <v>-6.3000000000000007</v>
      </c>
      <c r="I179" s="588"/>
    </row>
    <row r="180" spans="1:13">
      <c r="A180" s="532"/>
      <c r="B180" s="548" t="s">
        <v>2942</v>
      </c>
      <c r="C180" s="594">
        <v>-1</v>
      </c>
      <c r="D180" s="595">
        <v>2</v>
      </c>
      <c r="E180" s="535">
        <v>1.4</v>
      </c>
      <c r="F180" s="535" t="s">
        <v>48</v>
      </c>
      <c r="G180" s="535">
        <v>1.1000000000000001</v>
      </c>
      <c r="H180" s="536">
        <f t="shared" si="11"/>
        <v>-3.08</v>
      </c>
      <c r="I180" s="585"/>
    </row>
    <row r="181" spans="1:13">
      <c r="A181" s="532"/>
      <c r="B181" s="548" t="s">
        <v>2942</v>
      </c>
      <c r="C181" s="594">
        <v>-1</v>
      </c>
      <c r="D181" s="595">
        <v>1</v>
      </c>
      <c r="E181" s="535">
        <v>0.6</v>
      </c>
      <c r="F181" s="535" t="s">
        <v>48</v>
      </c>
      <c r="G181" s="535">
        <v>1.1000000000000001</v>
      </c>
      <c r="H181" s="536">
        <f t="shared" si="11"/>
        <v>-0.66</v>
      </c>
      <c r="I181" s="585"/>
      <c r="L181" s="531" t="s">
        <v>2932</v>
      </c>
      <c r="M181" s="544">
        <f>5+4</f>
        <v>9</v>
      </c>
    </row>
    <row r="182" spans="1:13">
      <c r="A182" s="532"/>
      <c r="B182" s="545" t="s">
        <v>2985</v>
      </c>
      <c r="C182" s="597">
        <v>1</v>
      </c>
      <c r="D182" s="597">
        <v>2</v>
      </c>
      <c r="E182" s="546">
        <v>1.5</v>
      </c>
      <c r="F182" s="546" t="s">
        <v>48</v>
      </c>
      <c r="G182" s="546">
        <v>5</v>
      </c>
      <c r="H182" s="536">
        <f t="shared" si="11"/>
        <v>15</v>
      </c>
      <c r="I182" s="588"/>
    </row>
    <row r="183" spans="1:13">
      <c r="A183" s="532"/>
      <c r="B183" s="545" t="s">
        <v>2986</v>
      </c>
      <c r="C183" s="597">
        <v>1</v>
      </c>
      <c r="D183" s="597">
        <v>2</v>
      </c>
      <c r="E183" s="546">
        <v>1.5</v>
      </c>
      <c r="F183" s="546" t="s">
        <v>48</v>
      </c>
      <c r="G183" s="546">
        <v>4</v>
      </c>
      <c r="H183" s="536">
        <f t="shared" si="11"/>
        <v>12</v>
      </c>
      <c r="I183" s="588"/>
    </row>
    <row r="184" spans="1:13">
      <c r="A184" s="532"/>
      <c r="B184" s="545" t="s">
        <v>2987</v>
      </c>
      <c r="C184" s="604">
        <v>0.5</v>
      </c>
      <c r="D184" s="597">
        <v>2</v>
      </c>
      <c r="E184" s="546">
        <v>3.05</v>
      </c>
      <c r="F184" s="546" t="s">
        <v>48</v>
      </c>
      <c r="G184" s="546">
        <v>1</v>
      </c>
      <c r="H184" s="536">
        <f t="shared" si="11"/>
        <v>3.05</v>
      </c>
      <c r="I184" s="588"/>
    </row>
    <row r="185" spans="1:13">
      <c r="A185" s="532"/>
      <c r="B185" s="545" t="s">
        <v>2939</v>
      </c>
      <c r="C185" s="597">
        <v>-1</v>
      </c>
      <c r="D185" s="597">
        <v>2</v>
      </c>
      <c r="E185" s="546">
        <v>1</v>
      </c>
      <c r="F185" s="546" t="s">
        <v>48</v>
      </c>
      <c r="G185" s="546">
        <v>2.1</v>
      </c>
      <c r="H185" s="536">
        <f t="shared" si="11"/>
        <v>-4.2</v>
      </c>
      <c r="I185" s="588"/>
    </row>
    <row r="186" spans="1:13">
      <c r="A186" s="532"/>
      <c r="B186" s="545" t="s">
        <v>2989</v>
      </c>
      <c r="C186" s="597">
        <v>-1</v>
      </c>
      <c r="D186" s="597">
        <v>1</v>
      </c>
      <c r="E186" s="546">
        <v>1.1000000000000001</v>
      </c>
      <c r="F186" s="546" t="s">
        <v>48</v>
      </c>
      <c r="G186" s="546">
        <v>2.6</v>
      </c>
      <c r="H186" s="536">
        <f t="shared" si="11"/>
        <v>-2.8600000000000003</v>
      </c>
      <c r="I186" s="588"/>
    </row>
    <row r="187" spans="1:13">
      <c r="A187" s="532"/>
      <c r="B187" s="545" t="s">
        <v>2988</v>
      </c>
      <c r="C187" s="597">
        <v>1</v>
      </c>
      <c r="D187" s="597">
        <v>1</v>
      </c>
      <c r="E187" s="546">
        <v>7.7</v>
      </c>
      <c r="F187" s="546" t="s">
        <v>48</v>
      </c>
      <c r="G187" s="546">
        <v>4</v>
      </c>
      <c r="H187" s="536">
        <f t="shared" si="11"/>
        <v>30.8</v>
      </c>
      <c r="I187" s="588"/>
    </row>
    <row r="188" spans="1:13">
      <c r="A188" s="532"/>
      <c r="B188" s="545" t="s">
        <v>2939</v>
      </c>
      <c r="C188" s="597">
        <v>-1</v>
      </c>
      <c r="D188" s="597">
        <v>1</v>
      </c>
      <c r="E188" s="546">
        <v>0.75</v>
      </c>
      <c r="F188" s="546" t="s">
        <v>48</v>
      </c>
      <c r="G188" s="546">
        <v>2</v>
      </c>
      <c r="H188" s="536">
        <f t="shared" si="11"/>
        <v>-1.5</v>
      </c>
      <c r="I188" s="588"/>
    </row>
    <row r="189" spans="1:13">
      <c r="A189" s="532"/>
      <c r="B189" s="545" t="s">
        <v>2984</v>
      </c>
      <c r="C189" s="597">
        <v>-1</v>
      </c>
      <c r="D189" s="597">
        <v>1</v>
      </c>
      <c r="E189" s="546">
        <v>0.65</v>
      </c>
      <c r="F189" s="546" t="s">
        <v>48</v>
      </c>
      <c r="G189" s="546">
        <v>0.45</v>
      </c>
      <c r="H189" s="536">
        <f t="shared" si="11"/>
        <v>-0.29250000000000004</v>
      </c>
      <c r="I189" s="588"/>
    </row>
    <row r="190" spans="1:13">
      <c r="A190" s="532"/>
      <c r="B190" s="638" t="s">
        <v>2990</v>
      </c>
      <c r="C190" s="597">
        <v>2</v>
      </c>
      <c r="D190" s="597">
        <v>1</v>
      </c>
      <c r="E190" s="546">
        <v>3.05</v>
      </c>
      <c r="F190" s="546" t="s">
        <v>48</v>
      </c>
      <c r="G190" s="546">
        <v>4</v>
      </c>
      <c r="H190" s="536">
        <f t="shared" si="11"/>
        <v>24.4</v>
      </c>
      <c r="I190" s="588"/>
    </row>
    <row r="191" spans="1:13">
      <c r="A191" s="532"/>
      <c r="B191" s="545" t="s">
        <v>2991</v>
      </c>
      <c r="C191" s="604">
        <v>0.5</v>
      </c>
      <c r="D191" s="595">
        <v>1</v>
      </c>
      <c r="E191" s="535">
        <v>4.4000000000000004</v>
      </c>
      <c r="F191" s="535" t="s">
        <v>48</v>
      </c>
      <c r="G191" s="535">
        <v>1</v>
      </c>
      <c r="H191" s="536">
        <f t="shared" si="11"/>
        <v>2.2000000000000002</v>
      </c>
      <c r="I191" s="585"/>
    </row>
    <row r="192" spans="1:13">
      <c r="A192" s="532"/>
      <c r="B192" s="545" t="s">
        <v>2939</v>
      </c>
      <c r="C192" s="597">
        <v>-1</v>
      </c>
      <c r="D192" s="597">
        <v>2</v>
      </c>
      <c r="E192" s="546">
        <v>1</v>
      </c>
      <c r="F192" s="546" t="s">
        <v>48</v>
      </c>
      <c r="G192" s="546">
        <v>2.1</v>
      </c>
      <c r="H192" s="536">
        <f t="shared" si="11"/>
        <v>-4.2</v>
      </c>
      <c r="I192" s="588"/>
    </row>
    <row r="193" spans="1:9">
      <c r="A193" s="532"/>
      <c r="B193" s="545" t="s">
        <v>2939</v>
      </c>
      <c r="C193" s="597">
        <v>-1</v>
      </c>
      <c r="D193" s="597">
        <v>1</v>
      </c>
      <c r="E193" s="546">
        <v>0.75</v>
      </c>
      <c r="F193" s="546" t="s">
        <v>48</v>
      </c>
      <c r="G193" s="546">
        <v>2</v>
      </c>
      <c r="H193" s="536">
        <f t="shared" si="11"/>
        <v>-1.5</v>
      </c>
      <c r="I193" s="588"/>
    </row>
    <row r="194" spans="1:9">
      <c r="A194" s="532"/>
      <c r="B194" s="545" t="s">
        <v>2984</v>
      </c>
      <c r="C194" s="597">
        <v>-1</v>
      </c>
      <c r="D194" s="597">
        <v>1</v>
      </c>
      <c r="E194" s="546">
        <v>0.65</v>
      </c>
      <c r="F194" s="546" t="s">
        <v>48</v>
      </c>
      <c r="G194" s="546">
        <v>0.45</v>
      </c>
      <c r="H194" s="536">
        <f t="shared" si="11"/>
        <v>-0.29250000000000004</v>
      </c>
      <c r="I194" s="588"/>
    </row>
    <row r="195" spans="1:9">
      <c r="A195" s="532"/>
      <c r="B195" s="545" t="s">
        <v>2992</v>
      </c>
      <c r="C195" s="597">
        <v>1</v>
      </c>
      <c r="D195" s="597">
        <v>1</v>
      </c>
      <c r="E195" s="546">
        <v>3.05</v>
      </c>
      <c r="F195" s="546" t="s">
        <v>48</v>
      </c>
      <c r="G195" s="546">
        <v>3.45</v>
      </c>
      <c r="H195" s="536">
        <f t="shared" si="11"/>
        <v>10.522499999999999</v>
      </c>
      <c r="I195" s="588"/>
    </row>
    <row r="196" spans="1:9">
      <c r="A196" s="532"/>
      <c r="B196" s="545" t="s">
        <v>2993</v>
      </c>
      <c r="C196" s="597">
        <v>1</v>
      </c>
      <c r="D196" s="597">
        <v>1</v>
      </c>
      <c r="E196" s="546">
        <v>3.05</v>
      </c>
      <c r="F196" s="546" t="s">
        <v>48</v>
      </c>
      <c r="G196" s="546">
        <v>4</v>
      </c>
      <c r="H196" s="536">
        <f t="shared" si="11"/>
        <v>12.2</v>
      </c>
      <c r="I196" s="588"/>
    </row>
    <row r="197" spans="1:9">
      <c r="A197" s="532"/>
      <c r="B197" s="545" t="s">
        <v>2994</v>
      </c>
      <c r="C197" s="604">
        <v>0.5</v>
      </c>
      <c r="D197" s="597">
        <v>2</v>
      </c>
      <c r="E197" s="546">
        <v>2.8</v>
      </c>
      <c r="F197" s="546" t="s">
        <v>48</v>
      </c>
      <c r="G197" s="546">
        <v>0.55000000000000004</v>
      </c>
      <c r="H197" s="536">
        <f t="shared" si="11"/>
        <v>1.54</v>
      </c>
      <c r="I197" s="588"/>
    </row>
    <row r="198" spans="1:9">
      <c r="A198" s="532"/>
      <c r="B198" s="545" t="s">
        <v>2939</v>
      </c>
      <c r="C198" s="597">
        <v>-1</v>
      </c>
      <c r="D198" s="597">
        <v>2</v>
      </c>
      <c r="E198" s="546">
        <v>1.2</v>
      </c>
      <c r="F198" s="546" t="s">
        <v>48</v>
      </c>
      <c r="G198" s="546">
        <v>2.1</v>
      </c>
      <c r="H198" s="536">
        <f t="shared" si="11"/>
        <v>-5.04</v>
      </c>
      <c r="I198" s="588"/>
    </row>
    <row r="199" spans="1:9">
      <c r="A199" s="532"/>
      <c r="B199" s="545" t="s">
        <v>2942</v>
      </c>
      <c r="C199" s="597">
        <v>-1</v>
      </c>
      <c r="D199" s="597">
        <v>1</v>
      </c>
      <c r="E199" s="546">
        <v>1.2</v>
      </c>
      <c r="F199" s="546" t="s">
        <v>48</v>
      </c>
      <c r="G199" s="546">
        <v>1.8</v>
      </c>
      <c r="H199" s="536">
        <f t="shared" si="11"/>
        <v>-2.16</v>
      </c>
      <c r="I199" s="588"/>
    </row>
    <row r="200" spans="1:9">
      <c r="A200" s="532"/>
      <c r="B200" s="545" t="s">
        <v>2995</v>
      </c>
      <c r="C200" s="597">
        <v>1</v>
      </c>
      <c r="D200" s="597">
        <v>1</v>
      </c>
      <c r="E200" s="546">
        <v>3</v>
      </c>
      <c r="F200" s="546" t="s">
        <v>48</v>
      </c>
      <c r="G200" s="546">
        <v>3.45</v>
      </c>
      <c r="H200" s="536">
        <f t="shared" si="11"/>
        <v>10.350000000000001</v>
      </c>
      <c r="I200" s="588"/>
    </row>
    <row r="201" spans="1:9">
      <c r="A201" s="532"/>
      <c r="B201" s="545" t="s">
        <v>2996</v>
      </c>
      <c r="C201" s="604">
        <v>1</v>
      </c>
      <c r="D201" s="595">
        <v>1</v>
      </c>
      <c r="E201" s="535">
        <v>3</v>
      </c>
      <c r="F201" s="535" t="s">
        <v>48</v>
      </c>
      <c r="G201" s="535">
        <v>4</v>
      </c>
      <c r="H201" s="536">
        <f t="shared" si="11"/>
        <v>12</v>
      </c>
      <c r="I201" s="585"/>
    </row>
    <row r="202" spans="1:9">
      <c r="A202" s="532"/>
      <c r="B202" s="545" t="s">
        <v>2997</v>
      </c>
      <c r="C202" s="604">
        <v>0.5</v>
      </c>
      <c r="D202" s="595">
        <v>2</v>
      </c>
      <c r="E202" s="535">
        <v>2.8</v>
      </c>
      <c r="F202" s="535" t="s">
        <v>48</v>
      </c>
      <c r="G202" s="535">
        <v>0.55000000000000004</v>
      </c>
      <c r="H202" s="536">
        <f t="shared" si="11"/>
        <v>1.54</v>
      </c>
      <c r="I202" s="585"/>
    </row>
    <row r="203" spans="1:9">
      <c r="A203" s="532"/>
      <c r="B203" s="545" t="s">
        <v>2939</v>
      </c>
      <c r="C203" s="597">
        <v>-1</v>
      </c>
      <c r="D203" s="597">
        <v>1</v>
      </c>
      <c r="E203" s="546">
        <v>1.2</v>
      </c>
      <c r="F203" s="546" t="s">
        <v>48</v>
      </c>
      <c r="G203" s="546">
        <v>2.1</v>
      </c>
      <c r="H203" s="536">
        <f t="shared" si="11"/>
        <v>-2.52</v>
      </c>
      <c r="I203" s="588"/>
    </row>
    <row r="204" spans="1:9">
      <c r="A204" s="532"/>
      <c r="B204" s="545" t="s">
        <v>2942</v>
      </c>
      <c r="C204" s="597">
        <v>-1</v>
      </c>
      <c r="D204" s="597">
        <v>1</v>
      </c>
      <c r="E204" s="546">
        <v>1.2</v>
      </c>
      <c r="F204" s="546" t="s">
        <v>48</v>
      </c>
      <c r="G204" s="546">
        <v>1.8</v>
      </c>
      <c r="H204" s="536">
        <f t="shared" si="11"/>
        <v>-2.16</v>
      </c>
      <c r="I204" s="588"/>
    </row>
    <row r="205" spans="1:9">
      <c r="A205" s="532"/>
      <c r="B205" s="545" t="s">
        <v>2998</v>
      </c>
      <c r="C205" s="597">
        <v>1</v>
      </c>
      <c r="D205" s="597">
        <v>1</v>
      </c>
      <c r="E205" s="546">
        <v>6</v>
      </c>
      <c r="F205" s="546" t="s">
        <v>48</v>
      </c>
      <c r="G205" s="546">
        <v>3.45</v>
      </c>
      <c r="H205" s="536">
        <f t="shared" si="11"/>
        <v>20.700000000000003</v>
      </c>
      <c r="I205" s="588"/>
    </row>
    <row r="206" spans="1:9">
      <c r="A206" s="532"/>
      <c r="B206" s="545" t="s">
        <v>2999</v>
      </c>
      <c r="C206" s="604">
        <v>1</v>
      </c>
      <c r="D206" s="595">
        <v>1</v>
      </c>
      <c r="E206" s="535">
        <v>6</v>
      </c>
      <c r="F206" s="535" t="s">
        <v>48</v>
      </c>
      <c r="G206" s="535">
        <v>4</v>
      </c>
      <c r="H206" s="536">
        <f t="shared" si="11"/>
        <v>24</v>
      </c>
      <c r="I206" s="585"/>
    </row>
    <row r="207" spans="1:9">
      <c r="A207" s="532"/>
      <c r="B207" s="545" t="s">
        <v>3000</v>
      </c>
      <c r="C207" s="604">
        <v>0.5</v>
      </c>
      <c r="D207" s="595">
        <v>2</v>
      </c>
      <c r="E207" s="535">
        <v>3</v>
      </c>
      <c r="F207" s="535" t="s">
        <v>48</v>
      </c>
      <c r="G207" s="535">
        <v>0.55000000000000004</v>
      </c>
      <c r="H207" s="536">
        <f t="shared" si="11"/>
        <v>1.6500000000000001</v>
      </c>
      <c r="I207" s="585"/>
    </row>
    <row r="208" spans="1:9">
      <c r="A208" s="532"/>
      <c r="B208" s="545" t="s">
        <v>2939</v>
      </c>
      <c r="C208" s="597">
        <v>-1</v>
      </c>
      <c r="D208" s="597">
        <v>1</v>
      </c>
      <c r="E208" s="546">
        <v>1</v>
      </c>
      <c r="F208" s="546" t="s">
        <v>48</v>
      </c>
      <c r="G208" s="546">
        <v>2.1</v>
      </c>
      <c r="H208" s="536">
        <f t="shared" si="11"/>
        <v>-2.1</v>
      </c>
      <c r="I208" s="588"/>
    </row>
    <row r="209" spans="1:9">
      <c r="A209" s="532"/>
      <c r="B209" s="545" t="s">
        <v>2942</v>
      </c>
      <c r="C209" s="597">
        <v>-1</v>
      </c>
      <c r="D209" s="597">
        <v>2</v>
      </c>
      <c r="E209" s="546">
        <v>1.2</v>
      </c>
      <c r="F209" s="546" t="s">
        <v>48</v>
      </c>
      <c r="G209" s="546">
        <v>1.8</v>
      </c>
      <c r="H209" s="536">
        <f t="shared" si="11"/>
        <v>-4.32</v>
      </c>
      <c r="I209" s="588"/>
    </row>
    <row r="210" spans="1:9">
      <c r="A210" s="532"/>
      <c r="B210" s="545" t="s">
        <v>3001</v>
      </c>
      <c r="C210" s="604">
        <v>1</v>
      </c>
      <c r="D210" s="595">
        <v>3</v>
      </c>
      <c r="E210" s="535">
        <v>0.9</v>
      </c>
      <c r="F210" s="535" t="s">
        <v>48</v>
      </c>
      <c r="G210" s="535">
        <v>2.7</v>
      </c>
      <c r="H210" s="536">
        <f t="shared" si="11"/>
        <v>7.2900000000000009</v>
      </c>
      <c r="I210" s="585"/>
    </row>
    <row r="211" spans="1:9">
      <c r="A211" s="532"/>
      <c r="B211" s="545" t="s">
        <v>3002</v>
      </c>
      <c r="C211" s="604">
        <v>1</v>
      </c>
      <c r="D211" s="595">
        <v>3</v>
      </c>
      <c r="E211" s="535">
        <v>0.9</v>
      </c>
      <c r="F211" s="535" t="s">
        <v>48</v>
      </c>
      <c r="G211" s="535">
        <v>2.2999999999999998</v>
      </c>
      <c r="H211" s="536">
        <f t="shared" si="11"/>
        <v>6.21</v>
      </c>
      <c r="I211" s="585"/>
    </row>
    <row r="212" spans="1:9" ht="17.45" customHeight="1">
      <c r="A212" s="532"/>
      <c r="B212" s="548" t="s">
        <v>3003</v>
      </c>
      <c r="C212" s="604">
        <v>0.5</v>
      </c>
      <c r="D212" s="595">
        <v>6</v>
      </c>
      <c r="E212" s="535">
        <v>2.0499999999999998</v>
      </c>
      <c r="F212" s="535"/>
      <c r="G212" s="535">
        <v>0.4</v>
      </c>
      <c r="H212" s="536">
        <f t="shared" si="11"/>
        <v>2.46</v>
      </c>
      <c r="I212" s="585"/>
    </row>
    <row r="213" spans="1:9">
      <c r="A213" s="532"/>
      <c r="B213" s="545" t="s">
        <v>2939</v>
      </c>
      <c r="C213" s="597">
        <v>-1</v>
      </c>
      <c r="D213" s="597">
        <v>3</v>
      </c>
      <c r="E213" s="546">
        <v>0.75</v>
      </c>
      <c r="F213" s="546" t="s">
        <v>48</v>
      </c>
      <c r="G213" s="546">
        <v>2</v>
      </c>
      <c r="H213" s="536">
        <f t="shared" si="11"/>
        <v>-4.5</v>
      </c>
      <c r="I213" s="588"/>
    </row>
    <row r="214" spans="1:9">
      <c r="A214" s="532"/>
      <c r="B214" s="545" t="s">
        <v>2984</v>
      </c>
      <c r="C214" s="597">
        <v>-1</v>
      </c>
      <c r="D214" s="597">
        <v>3</v>
      </c>
      <c r="E214" s="546">
        <v>0.45</v>
      </c>
      <c r="F214" s="546" t="s">
        <v>48</v>
      </c>
      <c r="G214" s="546">
        <v>0.45</v>
      </c>
      <c r="H214" s="536">
        <f t="shared" si="11"/>
        <v>-0.60750000000000004</v>
      </c>
      <c r="I214" s="588"/>
    </row>
    <row r="215" spans="1:9">
      <c r="A215" s="532"/>
      <c r="B215" s="545" t="s">
        <v>3006</v>
      </c>
      <c r="C215" s="604">
        <v>1</v>
      </c>
      <c r="D215" s="595">
        <v>1</v>
      </c>
      <c r="E215" s="535">
        <v>1.8</v>
      </c>
      <c r="F215" s="535" t="s">
        <v>48</v>
      </c>
      <c r="G215" s="535">
        <v>2.7</v>
      </c>
      <c r="H215" s="536">
        <f t="shared" si="11"/>
        <v>4.8600000000000003</v>
      </c>
      <c r="I215" s="585"/>
    </row>
    <row r="216" spans="1:9">
      <c r="A216" s="532"/>
      <c r="B216" s="545" t="s">
        <v>3005</v>
      </c>
      <c r="C216" s="604">
        <v>1</v>
      </c>
      <c r="D216" s="595">
        <v>1</v>
      </c>
      <c r="E216" s="535">
        <v>1.8</v>
      </c>
      <c r="F216" s="535" t="s">
        <v>48</v>
      </c>
      <c r="G216" s="535">
        <v>2.2999999999999998</v>
      </c>
      <c r="H216" s="536">
        <f t="shared" si="11"/>
        <v>4.1399999999999997</v>
      </c>
      <c r="I216" s="585"/>
    </row>
    <row r="217" spans="1:9" ht="17.45" customHeight="1">
      <c r="A217" s="532"/>
      <c r="B217" s="548" t="s">
        <v>3004</v>
      </c>
      <c r="C217" s="604">
        <v>0.5</v>
      </c>
      <c r="D217" s="595">
        <v>2</v>
      </c>
      <c r="E217" s="535">
        <v>1.9</v>
      </c>
      <c r="F217" s="535"/>
      <c r="G217" s="535">
        <v>0.4</v>
      </c>
      <c r="H217" s="536">
        <f t="shared" si="11"/>
        <v>0.76</v>
      </c>
      <c r="I217" s="585"/>
    </row>
    <row r="218" spans="1:9">
      <c r="A218" s="532"/>
      <c r="B218" s="545" t="s">
        <v>2939</v>
      </c>
      <c r="C218" s="597">
        <v>-1</v>
      </c>
      <c r="D218" s="597">
        <v>1</v>
      </c>
      <c r="E218" s="546">
        <v>0.75</v>
      </c>
      <c r="F218" s="546" t="s">
        <v>48</v>
      </c>
      <c r="G218" s="546">
        <v>2</v>
      </c>
      <c r="H218" s="536">
        <f t="shared" si="11"/>
        <v>-1.5</v>
      </c>
      <c r="I218" s="588"/>
    </row>
    <row r="219" spans="1:9">
      <c r="A219" s="532"/>
      <c r="B219" s="545" t="s">
        <v>2984</v>
      </c>
      <c r="C219" s="597">
        <v>-1</v>
      </c>
      <c r="D219" s="597">
        <v>1</v>
      </c>
      <c r="E219" s="546">
        <v>0.45</v>
      </c>
      <c r="F219" s="546" t="s">
        <v>48</v>
      </c>
      <c r="G219" s="546">
        <v>0.45</v>
      </c>
      <c r="H219" s="536">
        <f t="shared" si="11"/>
        <v>-0.20250000000000001</v>
      </c>
      <c r="I219" s="588"/>
    </row>
    <row r="220" spans="1:9">
      <c r="A220" s="532"/>
      <c r="B220" s="545" t="s">
        <v>3008</v>
      </c>
      <c r="C220" s="597">
        <v>1</v>
      </c>
      <c r="D220" s="597">
        <v>1</v>
      </c>
      <c r="E220" s="546">
        <v>24.75</v>
      </c>
      <c r="F220" s="546" t="s">
        <v>48</v>
      </c>
      <c r="G220" s="546">
        <v>4</v>
      </c>
      <c r="H220" s="536">
        <f t="shared" si="11"/>
        <v>99</v>
      </c>
      <c r="I220" s="588"/>
    </row>
    <row r="221" spans="1:9">
      <c r="A221" s="532"/>
      <c r="B221" s="545" t="s">
        <v>3009</v>
      </c>
      <c r="C221" s="597">
        <v>1</v>
      </c>
      <c r="D221" s="597">
        <v>1</v>
      </c>
      <c r="E221" s="546">
        <v>24.75</v>
      </c>
      <c r="F221" s="546" t="s">
        <v>48</v>
      </c>
      <c r="G221" s="546">
        <v>3.75</v>
      </c>
      <c r="H221" s="536">
        <f t="shared" si="11"/>
        <v>92.8125</v>
      </c>
      <c r="I221" s="588"/>
    </row>
    <row r="222" spans="1:9">
      <c r="A222" s="532"/>
      <c r="B222" s="545" t="s">
        <v>3007</v>
      </c>
      <c r="C222" s="604">
        <v>0.5</v>
      </c>
      <c r="D222" s="597">
        <v>1</v>
      </c>
      <c r="E222" s="546">
        <v>1.8</v>
      </c>
      <c r="F222" s="546" t="s">
        <v>48</v>
      </c>
      <c r="G222" s="546">
        <v>0.35</v>
      </c>
      <c r="H222" s="536">
        <f t="shared" si="11"/>
        <v>0.315</v>
      </c>
      <c r="I222" s="588"/>
    </row>
    <row r="223" spans="1:9">
      <c r="A223" s="532"/>
      <c r="B223" s="638" t="s">
        <v>3016</v>
      </c>
      <c r="C223" s="604">
        <v>1</v>
      </c>
      <c r="D223" s="597">
        <v>1</v>
      </c>
      <c r="E223" s="546">
        <v>7.8</v>
      </c>
      <c r="F223" s="546" t="s">
        <v>48</v>
      </c>
      <c r="G223" s="546">
        <v>4</v>
      </c>
      <c r="H223" s="536">
        <f t="shared" si="11"/>
        <v>31.2</v>
      </c>
      <c r="I223" s="588"/>
    </row>
    <row r="224" spans="1:9">
      <c r="A224" s="532"/>
      <c r="B224" s="545" t="s">
        <v>3012</v>
      </c>
      <c r="C224" s="604">
        <v>1</v>
      </c>
      <c r="D224" s="597">
        <v>8</v>
      </c>
      <c r="E224" s="546">
        <v>1.5</v>
      </c>
      <c r="F224" s="546" t="s">
        <v>48</v>
      </c>
      <c r="G224" s="546">
        <v>2.4</v>
      </c>
      <c r="H224" s="536">
        <f t="shared" si="11"/>
        <v>28.799999999999997</v>
      </c>
      <c r="I224" s="588"/>
    </row>
    <row r="225" spans="1:10">
      <c r="A225" s="532"/>
      <c r="B225" s="545" t="s">
        <v>2939</v>
      </c>
      <c r="C225" s="597">
        <v>-1</v>
      </c>
      <c r="D225" s="597">
        <v>3</v>
      </c>
      <c r="E225" s="546">
        <v>1</v>
      </c>
      <c r="F225" s="546" t="s">
        <v>48</v>
      </c>
      <c r="G225" s="546">
        <v>2.1</v>
      </c>
      <c r="H225" s="536">
        <f t="shared" si="11"/>
        <v>-6.3000000000000007</v>
      </c>
      <c r="I225" s="588"/>
    </row>
    <row r="226" spans="1:10">
      <c r="A226" s="532"/>
      <c r="B226" s="545" t="s">
        <v>2939</v>
      </c>
      <c r="C226" s="597">
        <v>-1</v>
      </c>
      <c r="D226" s="597">
        <v>2</v>
      </c>
      <c r="E226" s="546">
        <v>1.2</v>
      </c>
      <c r="F226" s="546" t="s">
        <v>48</v>
      </c>
      <c r="G226" s="546">
        <v>2.1</v>
      </c>
      <c r="H226" s="536">
        <f t="shared" si="11"/>
        <v>-5.04</v>
      </c>
      <c r="I226" s="588"/>
    </row>
    <row r="227" spans="1:10">
      <c r="A227" s="532"/>
      <c r="B227" s="545" t="s">
        <v>2939</v>
      </c>
      <c r="C227" s="597">
        <v>-1</v>
      </c>
      <c r="D227" s="597">
        <v>6</v>
      </c>
      <c r="E227" s="546">
        <v>1.05</v>
      </c>
      <c r="F227" s="546" t="s">
        <v>48</v>
      </c>
      <c r="G227" s="546">
        <v>2.1</v>
      </c>
      <c r="H227" s="536">
        <f t="shared" ref="H227:H231" si="12">PRODUCT(C227:G227)</f>
        <v>-13.230000000000002</v>
      </c>
      <c r="I227" s="588"/>
    </row>
    <row r="228" spans="1:10">
      <c r="A228" s="532"/>
      <c r="B228" s="545" t="s">
        <v>2942</v>
      </c>
      <c r="C228" s="597">
        <v>-1</v>
      </c>
      <c r="D228" s="597">
        <v>1</v>
      </c>
      <c r="E228" s="546">
        <v>1.2</v>
      </c>
      <c r="F228" s="546" t="s">
        <v>48</v>
      </c>
      <c r="G228" s="546">
        <v>1.8</v>
      </c>
      <c r="H228" s="536">
        <f t="shared" si="12"/>
        <v>-2.16</v>
      </c>
      <c r="I228" s="588"/>
    </row>
    <row r="229" spans="1:10">
      <c r="A229" s="532"/>
      <c r="B229" s="545" t="s">
        <v>2989</v>
      </c>
      <c r="C229" s="597">
        <v>-1</v>
      </c>
      <c r="D229" s="597">
        <v>3</v>
      </c>
      <c r="E229" s="546">
        <v>2.5</v>
      </c>
      <c r="F229" s="546" t="s">
        <v>48</v>
      </c>
      <c r="G229" s="546">
        <v>1.1000000000000001</v>
      </c>
      <c r="H229" s="536">
        <f t="shared" si="12"/>
        <v>-8.25</v>
      </c>
      <c r="I229" s="588"/>
    </row>
    <row r="230" spans="1:10">
      <c r="A230" s="532"/>
      <c r="B230" s="545" t="s">
        <v>2989</v>
      </c>
      <c r="C230" s="597">
        <v>-1</v>
      </c>
      <c r="D230" s="597">
        <v>1</v>
      </c>
      <c r="E230" s="546">
        <v>1.5</v>
      </c>
      <c r="F230" s="546" t="s">
        <v>48</v>
      </c>
      <c r="G230" s="535" t="s">
        <v>2968</v>
      </c>
      <c r="H230" s="536">
        <f>J230*E230*D230*C230</f>
        <v>-3.4875000000000003</v>
      </c>
      <c r="I230" s="588"/>
      <c r="J230" s="531">
        <f>(2.65+2)/2</f>
        <v>2.3250000000000002</v>
      </c>
    </row>
    <row r="231" spans="1:10">
      <c r="A231" s="532"/>
      <c r="B231" s="545" t="s">
        <v>3011</v>
      </c>
      <c r="C231" s="597">
        <v>-1</v>
      </c>
      <c r="D231" s="597">
        <v>8</v>
      </c>
      <c r="E231" s="546">
        <v>1.5</v>
      </c>
      <c r="F231" s="546" t="s">
        <v>48</v>
      </c>
      <c r="G231" s="546">
        <v>2.4</v>
      </c>
      <c r="H231" s="536">
        <f t="shared" si="12"/>
        <v>-28.799999999999997</v>
      </c>
      <c r="I231" s="588"/>
    </row>
    <row r="232" spans="1:10">
      <c r="A232" s="532"/>
      <c r="B232" s="545"/>
      <c r="C232" s="597"/>
      <c r="D232" s="597"/>
      <c r="E232" s="546"/>
      <c r="F232" s="546"/>
      <c r="G232" s="546"/>
      <c r="H232" s="536">
        <f>SUM(H162:H231)</f>
        <v>838.94750000000022</v>
      </c>
      <c r="I232" s="588"/>
    </row>
    <row r="233" spans="1:10">
      <c r="A233" s="532"/>
      <c r="B233" s="542"/>
      <c r="C233" s="594"/>
      <c r="D233" s="595"/>
      <c r="E233" s="535"/>
      <c r="F233" s="535"/>
      <c r="G233" s="535"/>
      <c r="H233" s="549">
        <v>839</v>
      </c>
      <c r="I233" s="585" t="s">
        <v>2935</v>
      </c>
    </row>
    <row r="234" spans="1:10" ht="37.5" customHeight="1">
      <c r="A234" s="532">
        <v>38</v>
      </c>
      <c r="B234" s="600" t="s">
        <v>2943</v>
      </c>
      <c r="C234" s="594"/>
      <c r="D234" s="595"/>
      <c r="E234" s="535"/>
      <c r="F234" s="535"/>
      <c r="G234" s="535"/>
      <c r="H234" s="536"/>
      <c r="I234" s="585"/>
    </row>
    <row r="235" spans="1:10">
      <c r="A235" s="675"/>
      <c r="B235" s="601" t="s">
        <v>2944</v>
      </c>
      <c r="C235" s="597">
        <v>1</v>
      </c>
      <c r="D235" s="597">
        <v>1</v>
      </c>
      <c r="E235" s="550">
        <v>98.6</v>
      </c>
      <c r="F235" s="550" t="s">
        <v>48</v>
      </c>
      <c r="G235" s="550">
        <v>3.8</v>
      </c>
      <c r="H235" s="605">
        <f t="shared" ref="H235:H255" si="13">PRODUCT(C235:G235)</f>
        <v>374.67999999999995</v>
      </c>
      <c r="I235" s="551"/>
    </row>
    <row r="236" spans="1:10">
      <c r="A236" s="676"/>
      <c r="B236" s="545" t="s">
        <v>2939</v>
      </c>
      <c r="C236" s="597">
        <v>-1</v>
      </c>
      <c r="D236" s="597">
        <v>1</v>
      </c>
      <c r="E236" s="546">
        <v>1</v>
      </c>
      <c r="F236" s="546" t="s">
        <v>48</v>
      </c>
      <c r="G236" s="546">
        <v>2.1</v>
      </c>
      <c r="H236" s="605">
        <f t="shared" si="13"/>
        <v>-2.1</v>
      </c>
      <c r="I236" s="588"/>
    </row>
    <row r="237" spans="1:10" s="647" customFormat="1">
      <c r="A237" s="532"/>
      <c r="B237" s="548" t="s">
        <v>2942</v>
      </c>
      <c r="C237" s="594">
        <v>-1</v>
      </c>
      <c r="D237" s="595">
        <v>2</v>
      </c>
      <c r="E237" s="535">
        <v>1.4</v>
      </c>
      <c r="F237" s="535" t="s">
        <v>48</v>
      </c>
      <c r="G237" s="535">
        <v>1.1000000000000001</v>
      </c>
      <c r="H237" s="605">
        <f t="shared" si="13"/>
        <v>-3.08</v>
      </c>
      <c r="I237" s="585"/>
    </row>
    <row r="238" spans="1:10">
      <c r="A238" s="532"/>
      <c r="B238" s="548" t="s">
        <v>2942</v>
      </c>
      <c r="C238" s="594">
        <v>-1</v>
      </c>
      <c r="D238" s="595">
        <v>1</v>
      </c>
      <c r="E238" s="535">
        <v>0.6</v>
      </c>
      <c r="F238" s="535" t="s">
        <v>48</v>
      </c>
      <c r="G238" s="535">
        <v>1.1000000000000001</v>
      </c>
      <c r="H238" s="605">
        <f t="shared" si="13"/>
        <v>-0.66</v>
      </c>
      <c r="I238" s="585"/>
    </row>
    <row r="239" spans="1:10">
      <c r="A239" s="532"/>
      <c r="B239" s="545" t="s">
        <v>2940</v>
      </c>
      <c r="C239" s="597">
        <v>-1</v>
      </c>
      <c r="D239" s="597">
        <v>4</v>
      </c>
      <c r="E239" s="546">
        <v>0.6</v>
      </c>
      <c r="F239" s="546" t="s">
        <v>48</v>
      </c>
      <c r="G239" s="546">
        <v>0.45</v>
      </c>
      <c r="H239" s="605">
        <f t="shared" si="13"/>
        <v>-1.08</v>
      </c>
      <c r="I239" s="588"/>
    </row>
    <row r="240" spans="1:10">
      <c r="A240" s="532"/>
      <c r="B240" s="545" t="s">
        <v>3010</v>
      </c>
      <c r="C240" s="597">
        <v>1</v>
      </c>
      <c r="D240" s="597">
        <v>1</v>
      </c>
      <c r="E240" s="546">
        <v>12.4</v>
      </c>
      <c r="F240" s="546" t="s">
        <v>48</v>
      </c>
      <c r="G240" s="546">
        <v>4</v>
      </c>
      <c r="H240" s="605">
        <f t="shared" si="13"/>
        <v>49.6</v>
      </c>
      <c r="I240" s="588"/>
    </row>
    <row r="241" spans="1:9">
      <c r="A241" s="532"/>
      <c r="B241" s="545" t="s">
        <v>2989</v>
      </c>
      <c r="C241" s="597">
        <v>-1</v>
      </c>
      <c r="D241" s="597">
        <v>3</v>
      </c>
      <c r="E241" s="546">
        <v>2.5</v>
      </c>
      <c r="F241" s="546" t="s">
        <v>48</v>
      </c>
      <c r="G241" s="546">
        <v>1.1000000000000001</v>
      </c>
      <c r="H241" s="605">
        <f t="shared" si="13"/>
        <v>-8.25</v>
      </c>
      <c r="I241" s="588"/>
    </row>
    <row r="242" spans="1:9">
      <c r="A242" s="532"/>
      <c r="B242" s="545" t="s">
        <v>2939</v>
      </c>
      <c r="C242" s="597">
        <v>-1</v>
      </c>
      <c r="D242" s="597">
        <v>1</v>
      </c>
      <c r="E242" s="546">
        <v>1</v>
      </c>
      <c r="F242" s="546" t="s">
        <v>48</v>
      </c>
      <c r="G242" s="546">
        <v>2.1</v>
      </c>
      <c r="H242" s="605">
        <f t="shared" si="13"/>
        <v>-2.1</v>
      </c>
      <c r="I242" s="588"/>
    </row>
    <row r="243" spans="1:9">
      <c r="A243" s="532"/>
      <c r="B243" s="545" t="s">
        <v>3013</v>
      </c>
      <c r="C243" s="597">
        <v>1</v>
      </c>
      <c r="D243" s="597">
        <v>1</v>
      </c>
      <c r="E243" s="546">
        <v>3.4</v>
      </c>
      <c r="F243" s="546" t="s">
        <v>48</v>
      </c>
      <c r="G243" s="546">
        <v>4</v>
      </c>
      <c r="H243" s="605">
        <f t="shared" si="13"/>
        <v>13.6</v>
      </c>
      <c r="I243" s="588"/>
    </row>
    <row r="244" spans="1:9">
      <c r="A244" s="532"/>
      <c r="B244" s="545" t="s">
        <v>3014</v>
      </c>
      <c r="C244" s="597">
        <v>-1</v>
      </c>
      <c r="D244" s="597">
        <v>1</v>
      </c>
      <c r="E244" s="546">
        <v>1.2</v>
      </c>
      <c r="F244" s="546" t="s">
        <v>48</v>
      </c>
      <c r="G244" s="546">
        <v>1.5</v>
      </c>
      <c r="H244" s="605">
        <f t="shared" si="13"/>
        <v>-1.7999999999999998</v>
      </c>
      <c r="I244" s="588"/>
    </row>
    <row r="245" spans="1:9">
      <c r="A245" s="532"/>
      <c r="B245" s="545" t="s">
        <v>3015</v>
      </c>
      <c r="C245" s="597">
        <v>1</v>
      </c>
      <c r="D245" s="597">
        <v>1</v>
      </c>
      <c r="E245" s="546">
        <v>13.55</v>
      </c>
      <c r="F245" s="546" t="s">
        <v>48</v>
      </c>
      <c r="G245" s="546">
        <v>3.45</v>
      </c>
      <c r="H245" s="605">
        <f t="shared" si="13"/>
        <v>46.747500000000002</v>
      </c>
      <c r="I245" s="588"/>
    </row>
    <row r="246" spans="1:9">
      <c r="A246" s="532"/>
      <c r="B246" s="545" t="s">
        <v>3014</v>
      </c>
      <c r="C246" s="597">
        <v>-1</v>
      </c>
      <c r="D246" s="597">
        <v>4</v>
      </c>
      <c r="E246" s="546">
        <v>1.2</v>
      </c>
      <c r="F246" s="546" t="s">
        <v>48</v>
      </c>
      <c r="G246" s="546">
        <v>1.5</v>
      </c>
      <c r="H246" s="605">
        <f t="shared" si="13"/>
        <v>-7.1999999999999993</v>
      </c>
      <c r="I246" s="588"/>
    </row>
    <row r="247" spans="1:9">
      <c r="A247" s="532"/>
      <c r="B247" s="545" t="s">
        <v>3017</v>
      </c>
      <c r="C247" s="597">
        <v>1</v>
      </c>
      <c r="D247" s="597">
        <v>1</v>
      </c>
      <c r="E247" s="546">
        <v>9.4499999999999993</v>
      </c>
      <c r="F247" s="546" t="s">
        <v>48</v>
      </c>
      <c r="G247" s="546">
        <v>4</v>
      </c>
      <c r="H247" s="605">
        <f t="shared" si="13"/>
        <v>37.799999999999997</v>
      </c>
      <c r="I247" s="588"/>
    </row>
    <row r="248" spans="1:9">
      <c r="A248" s="532"/>
      <c r="B248" s="545" t="s">
        <v>3018</v>
      </c>
      <c r="C248" s="597">
        <v>1</v>
      </c>
      <c r="D248" s="597">
        <v>1</v>
      </c>
      <c r="E248" s="546">
        <v>1.5</v>
      </c>
      <c r="F248" s="546" t="s">
        <v>48</v>
      </c>
      <c r="G248" s="546">
        <v>1.1000000000000001</v>
      </c>
      <c r="H248" s="605">
        <f t="shared" si="13"/>
        <v>1.6500000000000001</v>
      </c>
      <c r="I248" s="588"/>
    </row>
    <row r="249" spans="1:9">
      <c r="A249" s="532"/>
      <c r="B249" s="545" t="s">
        <v>3129</v>
      </c>
      <c r="C249" s="597">
        <v>1</v>
      </c>
      <c r="D249" s="597">
        <v>1</v>
      </c>
      <c r="E249" s="546">
        <v>29.4</v>
      </c>
      <c r="F249" s="546" t="s">
        <v>48</v>
      </c>
      <c r="G249" s="546">
        <v>3.4</v>
      </c>
      <c r="H249" s="605">
        <f t="shared" si="13"/>
        <v>99.96</v>
      </c>
      <c r="I249" s="588"/>
    </row>
    <row r="250" spans="1:9" ht="37.5">
      <c r="A250" s="532"/>
      <c r="B250" s="638" t="s">
        <v>3019</v>
      </c>
      <c r="C250" s="597">
        <v>1</v>
      </c>
      <c r="D250" s="597">
        <v>2</v>
      </c>
      <c r="E250" s="546">
        <v>5.5</v>
      </c>
      <c r="F250" s="546" t="s">
        <v>48</v>
      </c>
      <c r="G250" s="546">
        <v>3.4</v>
      </c>
      <c r="H250" s="605">
        <f t="shared" si="13"/>
        <v>37.4</v>
      </c>
      <c r="I250" s="588"/>
    </row>
    <row r="251" spans="1:9">
      <c r="A251" s="532"/>
      <c r="B251" s="545" t="s">
        <v>3026</v>
      </c>
      <c r="C251" s="597">
        <v>1</v>
      </c>
      <c r="D251" s="597">
        <v>1</v>
      </c>
      <c r="E251" s="546">
        <v>4.3499999999999996</v>
      </c>
      <c r="F251" s="546" t="s">
        <v>48</v>
      </c>
      <c r="G251" s="546">
        <v>3.5</v>
      </c>
      <c r="H251" s="605">
        <f t="shared" si="13"/>
        <v>15.224999999999998</v>
      </c>
      <c r="I251" s="588"/>
    </row>
    <row r="252" spans="1:9">
      <c r="A252" s="532"/>
      <c r="B252" s="545" t="s">
        <v>3026</v>
      </c>
      <c r="C252" s="597">
        <v>1</v>
      </c>
      <c r="D252" s="597">
        <v>1</v>
      </c>
      <c r="E252" s="546">
        <v>6.7</v>
      </c>
      <c r="F252" s="546" t="s">
        <v>48</v>
      </c>
      <c r="G252" s="546">
        <v>3.5</v>
      </c>
      <c r="H252" s="605">
        <f t="shared" si="13"/>
        <v>23.45</v>
      </c>
      <c r="I252" s="588"/>
    </row>
    <row r="253" spans="1:9">
      <c r="A253" s="532"/>
      <c r="B253" s="545" t="s">
        <v>3027</v>
      </c>
      <c r="C253" s="597">
        <v>1</v>
      </c>
      <c r="D253" s="597">
        <v>1</v>
      </c>
      <c r="E253" s="546">
        <v>4.5</v>
      </c>
      <c r="F253" s="546" t="s">
        <v>48</v>
      </c>
      <c r="G253" s="546">
        <v>3.5</v>
      </c>
      <c r="H253" s="605">
        <f t="shared" si="13"/>
        <v>15.75</v>
      </c>
      <c r="I253" s="588"/>
    </row>
    <row r="254" spans="1:9">
      <c r="A254" s="532"/>
      <c r="B254" s="545" t="s">
        <v>3027</v>
      </c>
      <c r="C254" s="597">
        <v>1</v>
      </c>
      <c r="D254" s="597">
        <v>1</v>
      </c>
      <c r="E254" s="546">
        <v>4.3499999999999996</v>
      </c>
      <c r="F254" s="546" t="s">
        <v>48</v>
      </c>
      <c r="G254" s="546">
        <v>3.5</v>
      </c>
      <c r="H254" s="605">
        <f t="shared" si="13"/>
        <v>15.224999999999998</v>
      </c>
      <c r="I254" s="588"/>
    </row>
    <row r="255" spans="1:9">
      <c r="A255" s="532"/>
      <c r="B255" s="545" t="s">
        <v>2997</v>
      </c>
      <c r="C255" s="606">
        <v>0.5</v>
      </c>
      <c r="D255" s="597">
        <v>1</v>
      </c>
      <c r="E255" s="546">
        <v>4.5</v>
      </c>
      <c r="F255" s="546" t="s">
        <v>48</v>
      </c>
      <c r="G255" s="546">
        <v>0.5</v>
      </c>
      <c r="H255" s="605">
        <f t="shared" si="13"/>
        <v>1.125</v>
      </c>
      <c r="I255" s="588"/>
    </row>
    <row r="256" spans="1:9">
      <c r="A256" s="532"/>
      <c r="B256" s="553"/>
      <c r="C256" s="594"/>
      <c r="D256" s="595"/>
      <c r="E256" s="535"/>
      <c r="F256" s="535"/>
      <c r="G256" s="535"/>
      <c r="H256" s="536">
        <f>SUM(H235:H255)</f>
        <v>705.9425</v>
      </c>
      <c r="I256" s="585"/>
    </row>
    <row r="257" spans="1:9">
      <c r="A257" s="532"/>
      <c r="B257" s="553"/>
      <c r="C257" s="594"/>
      <c r="D257" s="595"/>
      <c r="E257" s="535"/>
      <c r="F257" s="535"/>
      <c r="G257" s="535" t="s">
        <v>2831</v>
      </c>
      <c r="H257" s="556">
        <v>706</v>
      </c>
      <c r="I257" s="585" t="s">
        <v>2935</v>
      </c>
    </row>
    <row r="258" spans="1:9" ht="21" customHeight="1">
      <c r="A258" s="532">
        <v>39</v>
      </c>
      <c r="B258" s="611" t="s">
        <v>2956</v>
      </c>
      <c r="C258" s="595"/>
      <c r="D258" s="595"/>
      <c r="E258" s="535"/>
      <c r="F258" s="535"/>
      <c r="G258" s="535"/>
      <c r="H258" s="555"/>
      <c r="I258" s="585"/>
    </row>
    <row r="259" spans="1:9">
      <c r="A259" s="532"/>
      <c r="B259" s="611" t="s">
        <v>2965</v>
      </c>
      <c r="C259" s="595"/>
      <c r="D259" s="595"/>
      <c r="E259" s="535"/>
      <c r="F259" s="614" t="s">
        <v>2974</v>
      </c>
      <c r="G259" s="535"/>
      <c r="H259" s="555"/>
      <c r="I259" s="585"/>
    </row>
    <row r="260" spans="1:9">
      <c r="A260" s="532"/>
      <c r="B260" s="545" t="s">
        <v>2957</v>
      </c>
      <c r="C260" s="595">
        <v>1</v>
      </c>
      <c r="D260" s="595">
        <v>1</v>
      </c>
      <c r="E260" s="535">
        <v>1.2</v>
      </c>
      <c r="F260" s="535">
        <v>1.1000000000000001</v>
      </c>
      <c r="G260" s="535">
        <v>2</v>
      </c>
      <c r="H260" s="610">
        <f>PRODUCT(C260:G260)</f>
        <v>2.64</v>
      </c>
      <c r="I260" s="585"/>
    </row>
    <row r="261" spans="1:9">
      <c r="A261" s="532"/>
      <c r="B261" s="545" t="s">
        <v>2958</v>
      </c>
      <c r="C261" s="595">
        <v>1</v>
      </c>
      <c r="D261" s="595">
        <v>1</v>
      </c>
      <c r="E261" s="535">
        <v>1</v>
      </c>
      <c r="F261" s="535">
        <v>1.1000000000000001</v>
      </c>
      <c r="G261" s="535">
        <v>2</v>
      </c>
      <c r="H261" s="610">
        <f t="shared" ref="H261:H285" si="14">PRODUCT(C261:G261)</f>
        <v>2.2000000000000002</v>
      </c>
      <c r="I261" s="585"/>
    </row>
    <row r="262" spans="1:9">
      <c r="A262" s="532"/>
      <c r="B262" s="545" t="s">
        <v>2959</v>
      </c>
      <c r="C262" s="595">
        <v>1</v>
      </c>
      <c r="D262" s="595">
        <v>2</v>
      </c>
      <c r="E262" s="535">
        <v>1</v>
      </c>
      <c r="F262" s="535">
        <v>1.1000000000000001</v>
      </c>
      <c r="G262" s="535">
        <v>2</v>
      </c>
      <c r="H262" s="610">
        <f t="shared" si="14"/>
        <v>4.4000000000000004</v>
      </c>
      <c r="I262" s="585"/>
    </row>
    <row r="263" spans="1:9">
      <c r="A263" s="532"/>
      <c r="B263" s="545" t="s">
        <v>2960</v>
      </c>
      <c r="C263" s="595">
        <v>1</v>
      </c>
      <c r="D263" s="595">
        <v>3</v>
      </c>
      <c r="E263" s="535">
        <v>1</v>
      </c>
      <c r="F263" s="535">
        <v>1.1000000000000001</v>
      </c>
      <c r="G263" s="535">
        <v>2</v>
      </c>
      <c r="H263" s="610">
        <f t="shared" si="14"/>
        <v>6.6000000000000005</v>
      </c>
      <c r="I263" s="585"/>
    </row>
    <row r="264" spans="1:9">
      <c r="A264" s="532"/>
      <c r="B264" s="545" t="s">
        <v>2961</v>
      </c>
      <c r="C264" s="595">
        <v>1</v>
      </c>
      <c r="D264" s="595">
        <v>1</v>
      </c>
      <c r="E264" s="535">
        <v>1.2</v>
      </c>
      <c r="F264" s="535">
        <v>1.1000000000000001</v>
      </c>
      <c r="G264" s="535">
        <v>2.1</v>
      </c>
      <c r="H264" s="610">
        <f t="shared" si="14"/>
        <v>2.7720000000000002</v>
      </c>
      <c r="I264" s="585"/>
    </row>
    <row r="265" spans="1:9">
      <c r="A265" s="532"/>
      <c r="B265" s="545" t="s">
        <v>2962</v>
      </c>
      <c r="C265" s="595">
        <v>1</v>
      </c>
      <c r="D265" s="595">
        <v>1</v>
      </c>
      <c r="E265" s="535">
        <v>1.2</v>
      </c>
      <c r="F265" s="535">
        <v>1.1000000000000001</v>
      </c>
      <c r="G265" s="535">
        <v>2.1</v>
      </c>
      <c r="H265" s="610">
        <f t="shared" si="14"/>
        <v>2.7720000000000002</v>
      </c>
      <c r="I265" s="585"/>
    </row>
    <row r="266" spans="1:9">
      <c r="A266" s="532"/>
      <c r="B266" s="545" t="s">
        <v>2963</v>
      </c>
      <c r="C266" s="595">
        <v>1</v>
      </c>
      <c r="D266" s="595">
        <v>1</v>
      </c>
      <c r="E266" s="535">
        <v>1.2</v>
      </c>
      <c r="F266" s="535">
        <v>1.1000000000000001</v>
      </c>
      <c r="G266" s="535">
        <v>2.1</v>
      </c>
      <c r="H266" s="610">
        <f t="shared" si="14"/>
        <v>2.7720000000000002</v>
      </c>
      <c r="I266" s="585"/>
    </row>
    <row r="267" spans="1:9">
      <c r="A267" s="532"/>
      <c r="B267" s="545" t="s">
        <v>2960</v>
      </c>
      <c r="C267" s="595">
        <v>1</v>
      </c>
      <c r="D267" s="595">
        <v>5</v>
      </c>
      <c r="E267" s="535">
        <v>1.05</v>
      </c>
      <c r="F267" s="535">
        <v>1.1000000000000001</v>
      </c>
      <c r="G267" s="535">
        <v>2.1</v>
      </c>
      <c r="H267" s="610">
        <f t="shared" si="14"/>
        <v>12.127500000000001</v>
      </c>
      <c r="I267" s="585"/>
    </row>
    <row r="268" spans="1:9">
      <c r="A268" s="532"/>
      <c r="B268" s="545" t="s">
        <v>2964</v>
      </c>
      <c r="C268" s="595">
        <v>1</v>
      </c>
      <c r="D268" s="595">
        <v>1</v>
      </c>
      <c r="E268" s="535">
        <v>1.05</v>
      </c>
      <c r="F268" s="535">
        <v>1.1000000000000001</v>
      </c>
      <c r="G268" s="535">
        <v>2.1</v>
      </c>
      <c r="H268" s="610">
        <f t="shared" si="14"/>
        <v>2.4255000000000004</v>
      </c>
      <c r="I268" s="585"/>
    </row>
    <row r="269" spans="1:9">
      <c r="A269" s="532"/>
      <c r="B269" s="545" t="s">
        <v>2964</v>
      </c>
      <c r="C269" s="595">
        <v>1</v>
      </c>
      <c r="D269" s="595">
        <v>1</v>
      </c>
      <c r="E269" s="535">
        <v>1.1000000000000001</v>
      </c>
      <c r="F269" s="535">
        <v>1.1000000000000001</v>
      </c>
      <c r="G269" s="535">
        <v>2.1</v>
      </c>
      <c r="H269" s="610">
        <f t="shared" si="14"/>
        <v>2.5410000000000004</v>
      </c>
      <c r="I269" s="585"/>
    </row>
    <row r="270" spans="1:9">
      <c r="A270" s="532"/>
      <c r="B270" s="613" t="s">
        <v>2966</v>
      </c>
      <c r="C270" s="595"/>
      <c r="D270" s="595"/>
      <c r="E270" s="535"/>
      <c r="F270" s="535"/>
      <c r="G270" s="535"/>
      <c r="H270" s="610">
        <f t="shared" si="14"/>
        <v>0</v>
      </c>
      <c r="I270" s="585"/>
    </row>
    <row r="271" spans="1:9">
      <c r="A271" s="532"/>
      <c r="B271" s="545" t="s">
        <v>2967</v>
      </c>
      <c r="C271" s="595">
        <v>1</v>
      </c>
      <c r="D271" s="595">
        <v>2</v>
      </c>
      <c r="E271" s="535">
        <v>1.4</v>
      </c>
      <c r="F271" s="535">
        <v>1.1000000000000001</v>
      </c>
      <c r="G271" s="535">
        <v>1.1000000000000001</v>
      </c>
      <c r="H271" s="610">
        <f t="shared" si="14"/>
        <v>3.3880000000000003</v>
      </c>
      <c r="I271" s="585"/>
    </row>
    <row r="272" spans="1:9">
      <c r="A272" s="532"/>
      <c r="B272" s="545" t="s">
        <v>2967</v>
      </c>
      <c r="C272" s="595">
        <v>1</v>
      </c>
      <c r="D272" s="595">
        <v>1</v>
      </c>
      <c r="E272" s="535">
        <v>0.6</v>
      </c>
      <c r="F272" s="535">
        <v>1.1000000000000001</v>
      </c>
      <c r="G272" s="535">
        <v>1.1000000000000001</v>
      </c>
      <c r="H272" s="610">
        <f t="shared" si="14"/>
        <v>0.72600000000000009</v>
      </c>
      <c r="I272" s="585"/>
    </row>
    <row r="273" spans="1:10">
      <c r="A273" s="532"/>
      <c r="B273" s="545" t="s">
        <v>2967</v>
      </c>
      <c r="C273" s="595">
        <v>1</v>
      </c>
      <c r="D273" s="595">
        <v>1</v>
      </c>
      <c r="E273" s="535">
        <v>1.5</v>
      </c>
      <c r="F273" s="535">
        <v>1.1000000000000001</v>
      </c>
      <c r="G273" s="535" t="s">
        <v>2968</v>
      </c>
      <c r="H273" s="610">
        <f>J273*F273*E273*D273*C273</f>
        <v>3.8362500000000006</v>
      </c>
      <c r="I273" s="585"/>
      <c r="J273" s="531">
        <f>(2.65+2)/2</f>
        <v>2.3250000000000002</v>
      </c>
    </row>
    <row r="274" spans="1:10">
      <c r="A274" s="532"/>
      <c r="B274" s="545" t="s">
        <v>2967</v>
      </c>
      <c r="C274" s="595">
        <v>1</v>
      </c>
      <c r="D274" s="595">
        <v>4</v>
      </c>
      <c r="E274" s="535">
        <v>2.5</v>
      </c>
      <c r="F274" s="535">
        <v>1.1000000000000001</v>
      </c>
      <c r="G274" s="535">
        <v>1.4</v>
      </c>
      <c r="H274" s="610">
        <f t="shared" si="14"/>
        <v>15.399999999999999</v>
      </c>
      <c r="I274" s="585"/>
    </row>
    <row r="275" spans="1:10">
      <c r="A275" s="532"/>
      <c r="B275" s="613" t="s">
        <v>2969</v>
      </c>
      <c r="C275" s="595"/>
      <c r="D275" s="595"/>
      <c r="E275" s="535"/>
      <c r="F275" s="535"/>
      <c r="G275" s="535"/>
      <c r="H275" s="610">
        <f t="shared" si="14"/>
        <v>0</v>
      </c>
      <c r="I275" s="585"/>
    </row>
    <row r="276" spans="1:10">
      <c r="A276" s="532"/>
      <c r="B276" s="545" t="s">
        <v>2970</v>
      </c>
      <c r="C276" s="595">
        <v>1</v>
      </c>
      <c r="D276" s="595">
        <v>1</v>
      </c>
      <c r="E276" s="535">
        <v>6.5</v>
      </c>
      <c r="F276" s="535">
        <v>1.1000000000000001</v>
      </c>
      <c r="G276" s="535">
        <v>2.5</v>
      </c>
      <c r="H276" s="610">
        <f t="shared" si="14"/>
        <v>17.875</v>
      </c>
      <c r="I276" s="585"/>
    </row>
    <row r="277" spans="1:10">
      <c r="A277" s="532"/>
      <c r="B277" s="545" t="s">
        <v>2971</v>
      </c>
      <c r="C277" s="595">
        <v>1</v>
      </c>
      <c r="D277" s="595">
        <v>1</v>
      </c>
      <c r="E277" s="535">
        <v>6.1</v>
      </c>
      <c r="F277" s="535">
        <v>1.1000000000000001</v>
      </c>
      <c r="G277" s="535">
        <v>7</v>
      </c>
      <c r="H277" s="610">
        <f t="shared" si="14"/>
        <v>46.97</v>
      </c>
      <c r="I277" s="585"/>
    </row>
    <row r="278" spans="1:10">
      <c r="A278" s="532"/>
      <c r="B278" s="545" t="s">
        <v>2971</v>
      </c>
      <c r="C278" s="595">
        <v>1</v>
      </c>
      <c r="D278" s="595">
        <v>1</v>
      </c>
      <c r="E278" s="535">
        <v>4.2</v>
      </c>
      <c r="F278" s="535">
        <v>1.1000000000000001</v>
      </c>
      <c r="G278" s="535">
        <v>1.5</v>
      </c>
      <c r="H278" s="610">
        <f t="shared" si="14"/>
        <v>6.9300000000000015</v>
      </c>
      <c r="I278" s="585"/>
    </row>
    <row r="279" spans="1:10">
      <c r="A279" s="532"/>
      <c r="B279" s="545" t="s">
        <v>2971</v>
      </c>
      <c r="C279" s="595">
        <v>1</v>
      </c>
      <c r="D279" s="595">
        <v>1</v>
      </c>
      <c r="E279" s="535">
        <v>1.8</v>
      </c>
      <c r="F279" s="535">
        <v>1.1000000000000001</v>
      </c>
      <c r="G279" s="535">
        <v>2</v>
      </c>
      <c r="H279" s="610">
        <f t="shared" si="14"/>
        <v>3.9600000000000004</v>
      </c>
      <c r="I279" s="585"/>
    </row>
    <row r="280" spans="1:10">
      <c r="A280" s="532"/>
      <c r="B280" s="545" t="s">
        <v>2972</v>
      </c>
      <c r="C280" s="595">
        <v>1</v>
      </c>
      <c r="D280" s="595">
        <v>1</v>
      </c>
      <c r="E280" s="535">
        <v>13.8</v>
      </c>
      <c r="F280" s="535">
        <v>1.1000000000000001</v>
      </c>
      <c r="G280" s="535">
        <v>1.8</v>
      </c>
      <c r="H280" s="610">
        <f t="shared" si="14"/>
        <v>27.324000000000002</v>
      </c>
      <c r="I280" s="585"/>
    </row>
    <row r="281" spans="1:10">
      <c r="A281" s="532"/>
      <c r="B281" s="545" t="s">
        <v>2973</v>
      </c>
      <c r="C281" s="595">
        <v>1</v>
      </c>
      <c r="D281" s="595">
        <v>1</v>
      </c>
      <c r="E281" s="535">
        <v>4.3</v>
      </c>
      <c r="F281" s="535">
        <v>1.1000000000000001</v>
      </c>
      <c r="G281" s="535">
        <v>1.5</v>
      </c>
      <c r="H281" s="610">
        <f t="shared" si="14"/>
        <v>7.0950000000000006</v>
      </c>
      <c r="I281" s="585"/>
    </row>
    <row r="282" spans="1:10">
      <c r="A282" s="532"/>
      <c r="B282" s="545" t="s">
        <v>2973</v>
      </c>
      <c r="C282" s="595">
        <v>1</v>
      </c>
      <c r="D282" s="595">
        <v>1</v>
      </c>
      <c r="E282" s="535">
        <v>9</v>
      </c>
      <c r="F282" s="535">
        <v>1.1000000000000001</v>
      </c>
      <c r="G282" s="535">
        <v>6.2</v>
      </c>
      <c r="H282" s="610">
        <f t="shared" si="14"/>
        <v>61.38</v>
      </c>
      <c r="I282" s="585"/>
    </row>
    <row r="283" spans="1:10">
      <c r="A283" s="532"/>
      <c r="B283" s="545" t="s">
        <v>3130</v>
      </c>
      <c r="C283" s="595">
        <v>1</v>
      </c>
      <c r="D283" s="595">
        <v>1</v>
      </c>
      <c r="E283" s="535">
        <v>27.7</v>
      </c>
      <c r="F283" s="535">
        <v>1.1000000000000001</v>
      </c>
      <c r="G283" s="535">
        <v>1.9</v>
      </c>
      <c r="H283" s="610">
        <f t="shared" si="14"/>
        <v>57.893000000000001</v>
      </c>
      <c r="I283" s="585"/>
    </row>
    <row r="284" spans="1:10">
      <c r="A284" s="532"/>
      <c r="B284" s="545" t="s">
        <v>3130</v>
      </c>
      <c r="C284" s="595">
        <v>1</v>
      </c>
      <c r="D284" s="595">
        <v>1</v>
      </c>
      <c r="E284" s="535">
        <v>1.7</v>
      </c>
      <c r="F284" s="535">
        <v>1.1000000000000001</v>
      </c>
      <c r="G284" s="535">
        <v>1.9</v>
      </c>
      <c r="H284" s="610">
        <f t="shared" si="14"/>
        <v>3.5529999999999999</v>
      </c>
      <c r="I284" s="585"/>
    </row>
    <row r="285" spans="1:10">
      <c r="A285" s="532"/>
      <c r="B285" s="545" t="s">
        <v>3131</v>
      </c>
      <c r="C285" s="595">
        <v>1</v>
      </c>
      <c r="D285" s="595">
        <v>1</v>
      </c>
      <c r="E285" s="535">
        <v>6</v>
      </c>
      <c r="F285" s="535">
        <v>1.1000000000000001</v>
      </c>
      <c r="G285" s="535">
        <v>3</v>
      </c>
      <c r="H285" s="610">
        <f t="shared" si="14"/>
        <v>19.8</v>
      </c>
      <c r="I285" s="585"/>
    </row>
    <row r="286" spans="1:10">
      <c r="A286" s="532"/>
      <c r="B286" s="545"/>
      <c r="C286" s="595"/>
      <c r="D286" s="595"/>
      <c r="E286" s="535"/>
      <c r="F286" s="535"/>
      <c r="G286" s="535"/>
      <c r="H286" s="555">
        <f>SUM(H260:H285)</f>
        <v>317.38024999999999</v>
      </c>
      <c r="I286" s="585"/>
    </row>
    <row r="287" spans="1:10">
      <c r="A287" s="532"/>
      <c r="B287" s="545"/>
      <c r="C287" s="595"/>
      <c r="D287" s="595"/>
      <c r="E287" s="648"/>
      <c r="F287" s="535"/>
      <c r="G287" s="648" t="s">
        <v>2831</v>
      </c>
      <c r="H287" s="556">
        <v>317.5</v>
      </c>
      <c r="I287" s="585" t="s">
        <v>2935</v>
      </c>
    </row>
    <row r="288" spans="1:10" ht="38.25" customHeight="1">
      <c r="A288" s="532">
        <v>40</v>
      </c>
      <c r="B288" s="611" t="s">
        <v>3132</v>
      </c>
      <c r="C288" s="595"/>
      <c r="D288" s="595"/>
      <c r="E288" s="648"/>
      <c r="F288" s="535"/>
      <c r="G288" s="648"/>
      <c r="H288" s="650"/>
      <c r="I288" s="585"/>
    </row>
    <row r="289" spans="1:9" ht="35.25" customHeight="1">
      <c r="A289" s="532"/>
      <c r="B289" s="629" t="s">
        <v>3133</v>
      </c>
      <c r="C289" s="630">
        <v>1</v>
      </c>
      <c r="D289" s="630">
        <v>4</v>
      </c>
      <c r="E289" s="631">
        <v>1.2</v>
      </c>
      <c r="F289" s="631">
        <v>2</v>
      </c>
      <c r="G289" s="631">
        <v>1.5</v>
      </c>
      <c r="H289" s="610">
        <f t="shared" ref="H289:H290" si="15">PRODUCT(C289:G289)</f>
        <v>14.399999999999999</v>
      </c>
      <c r="I289" s="585"/>
    </row>
    <row r="290" spans="1:9">
      <c r="A290" s="532"/>
      <c r="B290" s="545" t="s">
        <v>3134</v>
      </c>
      <c r="C290" s="595">
        <v>2</v>
      </c>
      <c r="D290" s="595">
        <v>2</v>
      </c>
      <c r="E290" s="535">
        <v>0.9</v>
      </c>
      <c r="F290" s="535" t="s">
        <v>48</v>
      </c>
      <c r="G290" s="535">
        <v>0.6</v>
      </c>
      <c r="H290" s="610">
        <f t="shared" si="15"/>
        <v>2.16</v>
      </c>
      <c r="I290" s="585"/>
    </row>
    <row r="291" spans="1:9">
      <c r="A291" s="532"/>
      <c r="B291" s="629"/>
      <c r="C291" s="630"/>
      <c r="D291" s="630"/>
      <c r="E291" s="631"/>
      <c r="F291" s="631"/>
      <c r="G291" s="631"/>
      <c r="H291" s="655">
        <f>SUM(H289:H290)</f>
        <v>16.559999999999999</v>
      </c>
      <c r="I291" s="585"/>
    </row>
    <row r="292" spans="1:9">
      <c r="A292" s="532"/>
      <c r="B292" s="629"/>
      <c r="C292" s="630"/>
      <c r="D292" s="630"/>
      <c r="E292" s="631"/>
      <c r="F292" s="631"/>
      <c r="G292" s="631" t="s">
        <v>2831</v>
      </c>
      <c r="H292" s="656">
        <v>16.600000000000001</v>
      </c>
      <c r="I292" s="585" t="s">
        <v>2935</v>
      </c>
    </row>
    <row r="293" spans="1:9" ht="37.5">
      <c r="A293" s="532">
        <v>41</v>
      </c>
      <c r="B293" s="611" t="s">
        <v>3211</v>
      </c>
      <c r="C293" s="630"/>
      <c r="D293" s="630"/>
      <c r="E293" s="631"/>
      <c r="F293" s="631"/>
      <c r="G293" s="631"/>
      <c r="H293" s="655"/>
      <c r="I293" s="585"/>
    </row>
    <row r="294" spans="1:9">
      <c r="A294" s="532"/>
      <c r="B294" s="545" t="s">
        <v>3212</v>
      </c>
      <c r="C294" s="595">
        <v>1</v>
      </c>
      <c r="D294" s="595">
        <v>24</v>
      </c>
      <c r="E294" s="535">
        <v>1.8</v>
      </c>
      <c r="F294" s="535">
        <v>0.35</v>
      </c>
      <c r="G294" s="648"/>
      <c r="H294" s="610">
        <f t="shared" ref="H294:H295" si="16">PRODUCT(C294:G294)</f>
        <v>15.12</v>
      </c>
      <c r="I294" s="585"/>
    </row>
    <row r="295" spans="1:9">
      <c r="A295" s="532"/>
      <c r="B295" s="545" t="s">
        <v>3213</v>
      </c>
      <c r="C295" s="630">
        <v>1</v>
      </c>
      <c r="D295" s="630">
        <v>4</v>
      </c>
      <c r="E295" s="631">
        <v>24</v>
      </c>
      <c r="F295" s="631">
        <v>0.4</v>
      </c>
      <c r="G295" s="631"/>
      <c r="H295" s="610">
        <f t="shared" si="16"/>
        <v>38.400000000000006</v>
      </c>
      <c r="I295" s="585"/>
    </row>
    <row r="296" spans="1:9">
      <c r="A296" s="532"/>
      <c r="B296" s="545"/>
      <c r="C296" s="630"/>
      <c r="D296" s="630"/>
      <c r="E296" s="631"/>
      <c r="F296" s="631"/>
      <c r="G296" s="631"/>
      <c r="H296" s="610">
        <f>SUM(H294:H295)</f>
        <v>53.52</v>
      </c>
      <c r="I296" s="585"/>
    </row>
    <row r="297" spans="1:9">
      <c r="A297" s="532"/>
      <c r="B297" s="545"/>
      <c r="C297" s="595"/>
      <c r="D297" s="595"/>
      <c r="E297" s="648"/>
      <c r="F297" s="535"/>
      <c r="G297" s="631" t="s">
        <v>2831</v>
      </c>
      <c r="H297" s="610">
        <v>53.6</v>
      </c>
      <c r="I297" s="585" t="s">
        <v>2935</v>
      </c>
    </row>
    <row r="298" spans="1:9" ht="37.5">
      <c r="A298" s="532">
        <v>42</v>
      </c>
      <c r="B298" s="542" t="s">
        <v>3220</v>
      </c>
      <c r="C298" s="595"/>
      <c r="D298" s="595"/>
      <c r="E298" s="535"/>
      <c r="F298" s="535"/>
      <c r="G298" s="535"/>
      <c r="H298" s="555"/>
      <c r="I298" s="585"/>
    </row>
    <row r="299" spans="1:9">
      <c r="A299" s="532"/>
      <c r="B299" s="545" t="s">
        <v>3221</v>
      </c>
      <c r="C299" s="595">
        <v>1</v>
      </c>
      <c r="D299" s="595">
        <v>2</v>
      </c>
      <c r="E299" s="535">
        <v>3.05</v>
      </c>
      <c r="F299" s="535">
        <v>4.5999999999999996</v>
      </c>
      <c r="G299" s="535"/>
      <c r="H299" s="610">
        <f t="shared" ref="H299:H300" si="17">PRODUCT(C299:G299)</f>
        <v>28.059999999999995</v>
      </c>
      <c r="I299" s="585"/>
    </row>
    <row r="300" spans="1:9">
      <c r="A300" s="532"/>
      <c r="B300" s="545" t="s">
        <v>3222</v>
      </c>
      <c r="C300" s="595">
        <v>1</v>
      </c>
      <c r="D300" s="595">
        <v>1</v>
      </c>
      <c r="E300" s="535">
        <v>6.5</v>
      </c>
      <c r="F300" s="535">
        <v>1.6</v>
      </c>
      <c r="G300" s="535"/>
      <c r="H300" s="610">
        <f t="shared" si="17"/>
        <v>10.4</v>
      </c>
      <c r="I300" s="585"/>
    </row>
    <row r="301" spans="1:9">
      <c r="A301" s="532"/>
      <c r="B301" s="545"/>
      <c r="C301" s="595"/>
      <c r="D301" s="595"/>
      <c r="E301" s="535"/>
      <c r="F301" s="535"/>
      <c r="G301" s="535"/>
      <c r="H301" s="555">
        <f>SUM(H299:H300)</f>
        <v>38.459999999999994</v>
      </c>
      <c r="I301" s="585"/>
    </row>
    <row r="302" spans="1:9">
      <c r="A302" s="532"/>
      <c r="B302" s="545"/>
      <c r="C302" s="595"/>
      <c r="D302" s="595"/>
      <c r="E302" s="535"/>
      <c r="F302" s="535"/>
      <c r="G302" s="535"/>
      <c r="H302" s="555">
        <v>38.5</v>
      </c>
      <c r="I302" s="585" t="s">
        <v>2935</v>
      </c>
    </row>
    <row r="303" spans="1:9" ht="56.25">
      <c r="A303" s="532">
        <v>43</v>
      </c>
      <c r="B303" s="683" t="s">
        <v>3223</v>
      </c>
      <c r="C303" s="595"/>
      <c r="D303" s="595"/>
      <c r="E303" s="535"/>
      <c r="F303" s="535"/>
      <c r="G303" s="535"/>
      <c r="H303" s="555"/>
      <c r="I303" s="585"/>
    </row>
    <row r="304" spans="1:9">
      <c r="A304" s="532"/>
      <c r="B304" s="545" t="s">
        <v>3221</v>
      </c>
      <c r="C304" s="595">
        <v>1</v>
      </c>
      <c r="D304" s="595">
        <v>2</v>
      </c>
      <c r="E304" s="535">
        <v>3.05</v>
      </c>
      <c r="F304" s="535">
        <v>4.5999999999999996</v>
      </c>
      <c r="G304" s="535"/>
      <c r="H304" s="610">
        <f t="shared" ref="H304:H305" si="18">PRODUCT(C304:G304)</f>
        <v>28.059999999999995</v>
      </c>
      <c r="I304" s="585"/>
    </row>
    <row r="305" spans="1:9">
      <c r="A305" s="532"/>
      <c r="B305" s="545" t="s">
        <v>3222</v>
      </c>
      <c r="C305" s="595">
        <v>1</v>
      </c>
      <c r="D305" s="595">
        <v>1</v>
      </c>
      <c r="E305" s="535">
        <v>6.5</v>
      </c>
      <c r="F305" s="535">
        <v>1.6</v>
      </c>
      <c r="G305" s="535"/>
      <c r="H305" s="610">
        <f t="shared" si="18"/>
        <v>10.4</v>
      </c>
      <c r="I305" s="585"/>
    </row>
    <row r="306" spans="1:9">
      <c r="A306" s="532"/>
      <c r="B306" s="545"/>
      <c r="C306" s="595"/>
      <c r="D306" s="595"/>
      <c r="E306" s="535"/>
      <c r="F306" s="535"/>
      <c r="G306" s="535"/>
      <c r="H306" s="555">
        <f>SUM(H304:H305)</f>
        <v>38.459999999999994</v>
      </c>
      <c r="I306" s="585"/>
    </row>
    <row r="307" spans="1:9">
      <c r="A307" s="532"/>
      <c r="B307" s="545"/>
      <c r="C307" s="595"/>
      <c r="D307" s="595"/>
      <c r="E307" s="535"/>
      <c r="F307" s="535"/>
      <c r="G307" s="535"/>
      <c r="H307" s="555">
        <v>38.5</v>
      </c>
      <c r="I307" s="585" t="s">
        <v>2935</v>
      </c>
    </row>
    <row r="308" spans="1:9">
      <c r="E308" s="557"/>
      <c r="G308" s="557"/>
      <c r="H308" s="558"/>
    </row>
    <row r="309" spans="1:9">
      <c r="E309" s="557"/>
      <c r="G309" s="557"/>
      <c r="H309" s="558"/>
    </row>
    <row r="310" spans="1:9">
      <c r="E310" s="557"/>
      <c r="G310" s="557"/>
      <c r="H310" s="558"/>
    </row>
    <row r="311" spans="1:9">
      <c r="E311" s="557"/>
      <c r="G311" s="557"/>
      <c r="H311" s="558"/>
    </row>
    <row r="312" spans="1:9">
      <c r="E312" s="557"/>
      <c r="G312" s="557"/>
      <c r="H312" s="558"/>
    </row>
    <row r="313" spans="1:9">
      <c r="E313" s="557"/>
      <c r="G313" s="557"/>
      <c r="H313" s="558"/>
    </row>
    <row r="314" spans="1:9">
      <c r="E314" s="557"/>
      <c r="G314" s="557"/>
      <c r="H314" s="558"/>
    </row>
    <row r="315" spans="1:9">
      <c r="E315" s="557"/>
      <c r="G315" s="557"/>
      <c r="H315" s="558"/>
    </row>
    <row r="316" spans="1:9">
      <c r="E316" s="557"/>
      <c r="G316" s="557"/>
      <c r="H316" s="558"/>
    </row>
    <row r="317" spans="1:9">
      <c r="E317" s="557"/>
      <c r="G317" s="557"/>
      <c r="H317" s="558"/>
    </row>
    <row r="318" spans="1:9">
      <c r="E318" s="557"/>
      <c r="G318" s="557"/>
      <c r="H318" s="558"/>
    </row>
    <row r="319" spans="1:9">
      <c r="E319" s="557"/>
      <c r="G319" s="557"/>
      <c r="H319" s="558"/>
    </row>
    <row r="320" spans="1:9">
      <c r="E320" s="557"/>
      <c r="G320" s="557"/>
      <c r="H320" s="558"/>
    </row>
    <row r="321" spans="5:8">
      <c r="E321" s="557"/>
      <c r="G321" s="557"/>
      <c r="H321" s="558"/>
    </row>
    <row r="322" spans="5:8">
      <c r="E322" s="557"/>
      <c r="G322" s="557"/>
      <c r="H322" s="558"/>
    </row>
    <row r="323" spans="5:8">
      <c r="E323" s="557"/>
      <c r="G323" s="557"/>
      <c r="H323" s="558"/>
    </row>
    <row r="324" spans="5:8">
      <c r="E324" s="557"/>
      <c r="G324" s="557"/>
      <c r="H324" s="558"/>
    </row>
    <row r="325" spans="5:8">
      <c r="E325" s="557"/>
      <c r="G325" s="557"/>
      <c r="H325" s="558"/>
    </row>
    <row r="326" spans="5:8">
      <c r="E326" s="557"/>
      <c r="G326" s="557"/>
      <c r="H326" s="558"/>
    </row>
    <row r="327" spans="5:8">
      <c r="E327" s="557"/>
      <c r="G327" s="557"/>
      <c r="H327" s="558"/>
    </row>
    <row r="328" spans="5:8">
      <c r="E328" s="557"/>
      <c r="G328" s="557"/>
      <c r="H328" s="558"/>
    </row>
    <row r="329" spans="5:8">
      <c r="E329" s="557"/>
      <c r="G329" s="557"/>
      <c r="H329" s="558"/>
    </row>
    <row r="330" spans="5:8">
      <c r="E330" s="557"/>
      <c r="G330" s="557"/>
      <c r="H330" s="558"/>
    </row>
    <row r="331" spans="5:8">
      <c r="E331" s="557"/>
      <c r="G331" s="557"/>
      <c r="H331" s="558"/>
    </row>
    <row r="332" spans="5:8">
      <c r="E332" s="557"/>
      <c r="G332" s="557"/>
      <c r="H332" s="558"/>
    </row>
    <row r="333" spans="5:8">
      <c r="E333" s="557"/>
      <c r="G333" s="557"/>
      <c r="H333" s="558"/>
    </row>
    <row r="334" spans="5:8">
      <c r="E334" s="557"/>
      <c r="G334" s="557"/>
      <c r="H334" s="558"/>
    </row>
    <row r="335" spans="5:8">
      <c r="E335" s="557"/>
      <c r="G335" s="557"/>
      <c r="H335" s="558"/>
    </row>
    <row r="336" spans="5:8">
      <c r="E336" s="557"/>
      <c r="G336" s="557"/>
      <c r="H336" s="558"/>
    </row>
    <row r="337" spans="5:8">
      <c r="E337" s="557"/>
      <c r="G337" s="557"/>
      <c r="H337" s="558"/>
    </row>
    <row r="338" spans="5:8">
      <c r="E338" s="557"/>
      <c r="G338" s="557"/>
      <c r="H338" s="558"/>
    </row>
    <row r="339" spans="5:8">
      <c r="E339" s="557"/>
      <c r="G339" s="557"/>
      <c r="H339" s="558"/>
    </row>
    <row r="340" spans="5:8">
      <c r="E340" s="557"/>
      <c r="G340" s="557"/>
      <c r="H340" s="558"/>
    </row>
    <row r="341" spans="5:8">
      <c r="E341" s="557"/>
      <c r="G341" s="557"/>
      <c r="H341" s="558"/>
    </row>
    <row r="342" spans="5:8">
      <c r="E342" s="557"/>
      <c r="G342" s="557"/>
      <c r="H342" s="558"/>
    </row>
    <row r="343" spans="5:8">
      <c r="E343" s="557"/>
      <c r="G343" s="557"/>
      <c r="H343" s="558"/>
    </row>
    <row r="344" spans="5:8">
      <c r="E344" s="557"/>
      <c r="G344" s="557"/>
      <c r="H344" s="558"/>
    </row>
    <row r="345" spans="5:8">
      <c r="E345" s="557"/>
      <c r="G345" s="557"/>
      <c r="H345" s="558"/>
    </row>
    <row r="346" spans="5:8">
      <c r="E346" s="557"/>
      <c r="G346" s="557"/>
      <c r="H346" s="558"/>
    </row>
    <row r="347" spans="5:8">
      <c r="E347" s="557"/>
      <c r="G347" s="557"/>
      <c r="H347" s="558"/>
    </row>
    <row r="348" spans="5:8">
      <c r="E348" s="557"/>
      <c r="G348" s="557"/>
      <c r="H348" s="558"/>
    </row>
    <row r="349" spans="5:8">
      <c r="E349" s="557"/>
      <c r="G349" s="557"/>
      <c r="H349" s="558"/>
    </row>
    <row r="350" spans="5:8">
      <c r="E350" s="557"/>
      <c r="G350" s="557"/>
      <c r="H350" s="558"/>
    </row>
    <row r="351" spans="5:8">
      <c r="E351" s="557"/>
      <c r="G351" s="557"/>
      <c r="H351" s="558"/>
    </row>
    <row r="352" spans="5:8">
      <c r="E352" s="557"/>
      <c r="G352" s="557"/>
      <c r="H352" s="558"/>
    </row>
    <row r="353" spans="5:8">
      <c r="E353" s="557"/>
      <c r="G353" s="557"/>
      <c r="H353" s="558"/>
    </row>
    <row r="354" spans="5:8">
      <c r="E354" s="557"/>
      <c r="G354" s="557"/>
      <c r="H354" s="558"/>
    </row>
    <row r="355" spans="5:8">
      <c r="E355" s="557"/>
      <c r="G355" s="557"/>
      <c r="H355" s="558"/>
    </row>
    <row r="356" spans="5:8">
      <c r="E356" s="557"/>
      <c r="G356" s="557"/>
      <c r="H356" s="558"/>
    </row>
    <row r="357" spans="5:8">
      <c r="E357" s="557"/>
      <c r="G357" s="557"/>
      <c r="H357" s="558"/>
    </row>
    <row r="358" spans="5:8">
      <c r="E358" s="557"/>
      <c r="G358" s="557"/>
      <c r="H358" s="558"/>
    </row>
    <row r="359" spans="5:8">
      <c r="E359" s="557"/>
      <c r="G359" s="557"/>
      <c r="H359" s="558"/>
    </row>
    <row r="360" spans="5:8">
      <c r="E360" s="557"/>
      <c r="G360" s="557"/>
      <c r="H360" s="558"/>
    </row>
    <row r="361" spans="5:8">
      <c r="E361" s="557"/>
      <c r="G361" s="557"/>
      <c r="H361" s="558"/>
    </row>
    <row r="362" spans="5:8">
      <c r="E362" s="557"/>
      <c r="G362" s="557"/>
      <c r="H362" s="558"/>
    </row>
    <row r="363" spans="5:8">
      <c r="E363" s="557"/>
      <c r="G363" s="557"/>
      <c r="H363" s="558"/>
    </row>
    <row r="364" spans="5:8">
      <c r="E364" s="557"/>
      <c r="G364" s="557"/>
      <c r="H364" s="558"/>
    </row>
    <row r="365" spans="5:8">
      <c r="E365" s="557"/>
      <c r="G365" s="557"/>
      <c r="H365" s="558"/>
    </row>
    <row r="366" spans="5:8">
      <c r="E366" s="557"/>
      <c r="G366" s="557"/>
      <c r="H366" s="558"/>
    </row>
    <row r="367" spans="5:8">
      <c r="E367" s="557"/>
      <c r="G367" s="557"/>
      <c r="H367" s="558"/>
    </row>
    <row r="368" spans="5:8">
      <c r="E368" s="557"/>
      <c r="G368" s="557"/>
      <c r="H368" s="558"/>
    </row>
    <row r="369" spans="5:8">
      <c r="E369" s="557"/>
      <c r="G369" s="557"/>
      <c r="H369" s="558"/>
    </row>
    <row r="370" spans="5:8">
      <c r="E370" s="557"/>
      <c r="G370" s="557"/>
      <c r="H370" s="558"/>
    </row>
    <row r="371" spans="5:8">
      <c r="E371" s="557"/>
      <c r="G371" s="557"/>
      <c r="H371" s="558"/>
    </row>
    <row r="372" spans="5:8">
      <c r="E372" s="557"/>
      <c r="G372" s="557"/>
      <c r="H372" s="558"/>
    </row>
    <row r="373" spans="5:8">
      <c r="E373" s="557"/>
      <c r="G373" s="557"/>
      <c r="H373" s="558"/>
    </row>
    <row r="374" spans="5:8">
      <c r="E374" s="557"/>
      <c r="G374" s="557"/>
      <c r="H374" s="558"/>
    </row>
    <row r="375" spans="5:8">
      <c r="E375" s="557"/>
      <c r="G375" s="557"/>
      <c r="H375" s="558"/>
    </row>
    <row r="376" spans="5:8">
      <c r="E376" s="557"/>
      <c r="G376" s="557"/>
      <c r="H376" s="558"/>
    </row>
    <row r="377" spans="5:8">
      <c r="E377" s="557"/>
      <c r="G377" s="557"/>
      <c r="H377" s="558"/>
    </row>
    <row r="378" spans="5:8">
      <c r="E378" s="557"/>
      <c r="G378" s="557"/>
      <c r="H378" s="558"/>
    </row>
    <row r="379" spans="5:8">
      <c r="E379" s="557"/>
      <c r="G379" s="557"/>
      <c r="H379" s="558"/>
    </row>
    <row r="380" spans="5:8">
      <c r="E380" s="557"/>
      <c r="G380" s="557"/>
      <c r="H380" s="558"/>
    </row>
  </sheetData>
  <mergeCells count="3">
    <mergeCell ref="A1:I2"/>
    <mergeCell ref="A3:I3"/>
    <mergeCell ref="C4:D4"/>
  </mergeCells>
  <pageMargins left="0.74803149606299202" right="0.23622047244094499" top="0.75" bottom="0.56000000000000005" header="0.31496062992126" footer="0.31496062992126"/>
  <pageSetup paperSize="9" scale="75" orientation="portrait" horizontalDpi="300" verticalDpi="300" r:id="rId1"/>
</worksheet>
</file>

<file path=xl/worksheets/sheet4.xml><?xml version="1.0" encoding="utf-8"?>
<worksheet xmlns="http://schemas.openxmlformats.org/spreadsheetml/2006/main" xmlns:r="http://schemas.openxmlformats.org/officeDocument/2006/relationships">
  <dimension ref="A1:I60"/>
  <sheetViews>
    <sheetView tabSelected="1" view="pageBreakPreview" topLeftCell="A42" zoomScaleNormal="70" zoomScaleSheetLayoutView="100" workbookViewId="0">
      <selection activeCell="H50" sqref="H50"/>
    </sheetView>
  </sheetViews>
  <sheetFormatPr defaultRowHeight="18.75"/>
  <cols>
    <col min="1" max="1" width="6.85546875" style="671" customWidth="1"/>
    <col min="2" max="2" width="11" style="578" customWidth="1"/>
    <col min="3" max="3" width="49.42578125" style="579" customWidth="1"/>
    <col min="4" max="4" width="11.42578125" style="641" customWidth="1"/>
    <col min="5" max="5" width="7.42578125" style="580" customWidth="1"/>
    <col min="6" max="6" width="16.28515625" style="581" customWidth="1"/>
    <col min="7" max="7" width="15.5703125" style="562" customWidth="1"/>
    <col min="8" max="8" width="15.5703125" style="562" bestFit="1" customWidth="1"/>
    <col min="9" max="9" width="10.7109375" style="562" bestFit="1" customWidth="1"/>
    <col min="10" max="10" width="10.42578125" style="562" bestFit="1" customWidth="1"/>
    <col min="11" max="256" width="8.7109375" style="562"/>
    <col min="257" max="257" width="7.140625" style="562" customWidth="1"/>
    <col min="258" max="258" width="12.28515625" style="562" customWidth="1"/>
    <col min="259" max="259" width="39.85546875" style="562" customWidth="1"/>
    <col min="260" max="260" width="12.5703125" style="562" customWidth="1"/>
    <col min="261" max="261" width="10.28515625" style="562" customWidth="1"/>
    <col min="262" max="262" width="16.85546875" style="562" customWidth="1"/>
    <col min="263" max="263" width="15.5703125" style="562" customWidth="1"/>
    <col min="264" max="264" width="15.5703125" style="562" bestFit="1" customWidth="1"/>
    <col min="265" max="265" width="10.7109375" style="562" bestFit="1" customWidth="1"/>
    <col min="266" max="512" width="8.7109375" style="562"/>
    <col min="513" max="513" width="7.140625" style="562" customWidth="1"/>
    <col min="514" max="514" width="12.28515625" style="562" customWidth="1"/>
    <col min="515" max="515" width="39.85546875" style="562" customWidth="1"/>
    <col min="516" max="516" width="12.5703125" style="562" customWidth="1"/>
    <col min="517" max="517" width="10.28515625" style="562" customWidth="1"/>
    <col min="518" max="518" width="16.85546875" style="562" customWidth="1"/>
    <col min="519" max="519" width="15.5703125" style="562" customWidth="1"/>
    <col min="520" max="520" width="15.5703125" style="562" bestFit="1" customWidth="1"/>
    <col min="521" max="521" width="10.7109375" style="562" bestFit="1" customWidth="1"/>
    <col min="522" max="768" width="8.7109375" style="562"/>
    <col min="769" max="769" width="7.140625" style="562" customWidth="1"/>
    <col min="770" max="770" width="12.28515625" style="562" customWidth="1"/>
    <col min="771" max="771" width="39.85546875" style="562" customWidth="1"/>
    <col min="772" max="772" width="12.5703125" style="562" customWidth="1"/>
    <col min="773" max="773" width="10.28515625" style="562" customWidth="1"/>
    <col min="774" max="774" width="16.85546875" style="562" customWidth="1"/>
    <col min="775" max="775" width="15.5703125" style="562" customWidth="1"/>
    <col min="776" max="776" width="15.5703125" style="562" bestFit="1" customWidth="1"/>
    <col min="777" max="777" width="10.7109375" style="562" bestFit="1" customWidth="1"/>
    <col min="778" max="1024" width="8.7109375" style="562"/>
    <col min="1025" max="1025" width="7.140625" style="562" customWidth="1"/>
    <col min="1026" max="1026" width="12.28515625" style="562" customWidth="1"/>
    <col min="1027" max="1027" width="39.85546875" style="562" customWidth="1"/>
    <col min="1028" max="1028" width="12.5703125" style="562" customWidth="1"/>
    <col min="1029" max="1029" width="10.28515625" style="562" customWidth="1"/>
    <col min="1030" max="1030" width="16.85546875" style="562" customWidth="1"/>
    <col min="1031" max="1031" width="15.5703125" style="562" customWidth="1"/>
    <col min="1032" max="1032" width="15.5703125" style="562" bestFit="1" customWidth="1"/>
    <col min="1033" max="1033" width="10.7109375" style="562" bestFit="1" customWidth="1"/>
    <col min="1034" max="1280" width="8.7109375" style="562"/>
    <col min="1281" max="1281" width="7.140625" style="562" customWidth="1"/>
    <col min="1282" max="1282" width="12.28515625" style="562" customWidth="1"/>
    <col min="1283" max="1283" width="39.85546875" style="562" customWidth="1"/>
    <col min="1284" max="1284" width="12.5703125" style="562" customWidth="1"/>
    <col min="1285" max="1285" width="10.28515625" style="562" customWidth="1"/>
    <col min="1286" max="1286" width="16.85546875" style="562" customWidth="1"/>
    <col min="1287" max="1287" width="15.5703125" style="562" customWidth="1"/>
    <col min="1288" max="1288" width="15.5703125" style="562" bestFit="1" customWidth="1"/>
    <col min="1289" max="1289" width="10.7109375" style="562" bestFit="1" customWidth="1"/>
    <col min="1290" max="1536" width="8.7109375" style="562"/>
    <col min="1537" max="1537" width="7.140625" style="562" customWidth="1"/>
    <col min="1538" max="1538" width="12.28515625" style="562" customWidth="1"/>
    <col min="1539" max="1539" width="39.85546875" style="562" customWidth="1"/>
    <col min="1540" max="1540" width="12.5703125" style="562" customWidth="1"/>
    <col min="1541" max="1541" width="10.28515625" style="562" customWidth="1"/>
    <col min="1542" max="1542" width="16.85546875" style="562" customWidth="1"/>
    <col min="1543" max="1543" width="15.5703125" style="562" customWidth="1"/>
    <col min="1544" max="1544" width="15.5703125" style="562" bestFit="1" customWidth="1"/>
    <col min="1545" max="1545" width="10.7109375" style="562" bestFit="1" customWidth="1"/>
    <col min="1546" max="1792" width="8.7109375" style="562"/>
    <col min="1793" max="1793" width="7.140625" style="562" customWidth="1"/>
    <col min="1794" max="1794" width="12.28515625" style="562" customWidth="1"/>
    <col min="1795" max="1795" width="39.85546875" style="562" customWidth="1"/>
    <col min="1796" max="1796" width="12.5703125" style="562" customWidth="1"/>
    <col min="1797" max="1797" width="10.28515625" style="562" customWidth="1"/>
    <col min="1798" max="1798" width="16.85546875" style="562" customWidth="1"/>
    <col min="1799" max="1799" width="15.5703125" style="562" customWidth="1"/>
    <col min="1800" max="1800" width="15.5703125" style="562" bestFit="1" customWidth="1"/>
    <col min="1801" max="1801" width="10.7109375" style="562" bestFit="1" customWidth="1"/>
    <col min="1802" max="2048" width="8.7109375" style="562"/>
    <col min="2049" max="2049" width="7.140625" style="562" customWidth="1"/>
    <col min="2050" max="2050" width="12.28515625" style="562" customWidth="1"/>
    <col min="2051" max="2051" width="39.85546875" style="562" customWidth="1"/>
    <col min="2052" max="2052" width="12.5703125" style="562" customWidth="1"/>
    <col min="2053" max="2053" width="10.28515625" style="562" customWidth="1"/>
    <col min="2054" max="2054" width="16.85546875" style="562" customWidth="1"/>
    <col min="2055" max="2055" width="15.5703125" style="562" customWidth="1"/>
    <col min="2056" max="2056" width="15.5703125" style="562" bestFit="1" customWidth="1"/>
    <col min="2057" max="2057" width="10.7109375" style="562" bestFit="1" customWidth="1"/>
    <col min="2058" max="2304" width="8.7109375" style="562"/>
    <col min="2305" max="2305" width="7.140625" style="562" customWidth="1"/>
    <col min="2306" max="2306" width="12.28515625" style="562" customWidth="1"/>
    <col min="2307" max="2307" width="39.85546875" style="562" customWidth="1"/>
    <col min="2308" max="2308" width="12.5703125" style="562" customWidth="1"/>
    <col min="2309" max="2309" width="10.28515625" style="562" customWidth="1"/>
    <col min="2310" max="2310" width="16.85546875" style="562" customWidth="1"/>
    <col min="2311" max="2311" width="15.5703125" style="562" customWidth="1"/>
    <col min="2312" max="2312" width="15.5703125" style="562" bestFit="1" customWidth="1"/>
    <col min="2313" max="2313" width="10.7109375" style="562" bestFit="1" customWidth="1"/>
    <col min="2314" max="2560" width="8.7109375" style="562"/>
    <col min="2561" max="2561" width="7.140625" style="562" customWidth="1"/>
    <col min="2562" max="2562" width="12.28515625" style="562" customWidth="1"/>
    <col min="2563" max="2563" width="39.85546875" style="562" customWidth="1"/>
    <col min="2564" max="2564" width="12.5703125" style="562" customWidth="1"/>
    <col min="2565" max="2565" width="10.28515625" style="562" customWidth="1"/>
    <col min="2566" max="2566" width="16.85546875" style="562" customWidth="1"/>
    <col min="2567" max="2567" width="15.5703125" style="562" customWidth="1"/>
    <col min="2568" max="2568" width="15.5703125" style="562" bestFit="1" customWidth="1"/>
    <col min="2569" max="2569" width="10.7109375" style="562" bestFit="1" customWidth="1"/>
    <col min="2570" max="2816" width="8.7109375" style="562"/>
    <col min="2817" max="2817" width="7.140625" style="562" customWidth="1"/>
    <col min="2818" max="2818" width="12.28515625" style="562" customWidth="1"/>
    <col min="2819" max="2819" width="39.85546875" style="562" customWidth="1"/>
    <col min="2820" max="2820" width="12.5703125" style="562" customWidth="1"/>
    <col min="2821" max="2821" width="10.28515625" style="562" customWidth="1"/>
    <col min="2822" max="2822" width="16.85546875" style="562" customWidth="1"/>
    <col min="2823" max="2823" width="15.5703125" style="562" customWidth="1"/>
    <col min="2824" max="2824" width="15.5703125" style="562" bestFit="1" customWidth="1"/>
    <col min="2825" max="2825" width="10.7109375" style="562" bestFit="1" customWidth="1"/>
    <col min="2826" max="3072" width="8.7109375" style="562"/>
    <col min="3073" max="3073" width="7.140625" style="562" customWidth="1"/>
    <col min="3074" max="3074" width="12.28515625" style="562" customWidth="1"/>
    <col min="3075" max="3075" width="39.85546875" style="562" customWidth="1"/>
    <col min="3076" max="3076" width="12.5703125" style="562" customWidth="1"/>
    <col min="3077" max="3077" width="10.28515625" style="562" customWidth="1"/>
    <col min="3078" max="3078" width="16.85546875" style="562" customWidth="1"/>
    <col min="3079" max="3079" width="15.5703125" style="562" customWidth="1"/>
    <col min="3080" max="3080" width="15.5703125" style="562" bestFit="1" customWidth="1"/>
    <col min="3081" max="3081" width="10.7109375" style="562" bestFit="1" customWidth="1"/>
    <col min="3082" max="3328" width="8.7109375" style="562"/>
    <col min="3329" max="3329" width="7.140625" style="562" customWidth="1"/>
    <col min="3330" max="3330" width="12.28515625" style="562" customWidth="1"/>
    <col min="3331" max="3331" width="39.85546875" style="562" customWidth="1"/>
    <col min="3332" max="3332" width="12.5703125" style="562" customWidth="1"/>
    <col min="3333" max="3333" width="10.28515625" style="562" customWidth="1"/>
    <col min="3334" max="3334" width="16.85546875" style="562" customWidth="1"/>
    <col min="3335" max="3335" width="15.5703125" style="562" customWidth="1"/>
    <col min="3336" max="3336" width="15.5703125" style="562" bestFit="1" customWidth="1"/>
    <col min="3337" max="3337" width="10.7109375" style="562" bestFit="1" customWidth="1"/>
    <col min="3338" max="3584" width="8.7109375" style="562"/>
    <col min="3585" max="3585" width="7.140625" style="562" customWidth="1"/>
    <col min="3586" max="3586" width="12.28515625" style="562" customWidth="1"/>
    <col min="3587" max="3587" width="39.85546875" style="562" customWidth="1"/>
    <col min="3588" max="3588" width="12.5703125" style="562" customWidth="1"/>
    <col min="3589" max="3589" width="10.28515625" style="562" customWidth="1"/>
    <col min="3590" max="3590" width="16.85546875" style="562" customWidth="1"/>
    <col min="3591" max="3591" width="15.5703125" style="562" customWidth="1"/>
    <col min="3592" max="3592" width="15.5703125" style="562" bestFit="1" customWidth="1"/>
    <col min="3593" max="3593" width="10.7109375" style="562" bestFit="1" customWidth="1"/>
    <col min="3594" max="3840" width="8.7109375" style="562"/>
    <col min="3841" max="3841" width="7.140625" style="562" customWidth="1"/>
    <col min="3842" max="3842" width="12.28515625" style="562" customWidth="1"/>
    <col min="3843" max="3843" width="39.85546875" style="562" customWidth="1"/>
    <col min="3844" max="3844" width="12.5703125" style="562" customWidth="1"/>
    <col min="3845" max="3845" width="10.28515625" style="562" customWidth="1"/>
    <col min="3846" max="3846" width="16.85546875" style="562" customWidth="1"/>
    <col min="3847" max="3847" width="15.5703125" style="562" customWidth="1"/>
    <col min="3848" max="3848" width="15.5703125" style="562" bestFit="1" customWidth="1"/>
    <col min="3849" max="3849" width="10.7109375" style="562" bestFit="1" customWidth="1"/>
    <col min="3850" max="4096" width="8.7109375" style="562"/>
    <col min="4097" max="4097" width="7.140625" style="562" customWidth="1"/>
    <col min="4098" max="4098" width="12.28515625" style="562" customWidth="1"/>
    <col min="4099" max="4099" width="39.85546875" style="562" customWidth="1"/>
    <col min="4100" max="4100" width="12.5703125" style="562" customWidth="1"/>
    <col min="4101" max="4101" width="10.28515625" style="562" customWidth="1"/>
    <col min="4102" max="4102" width="16.85546875" style="562" customWidth="1"/>
    <col min="4103" max="4103" width="15.5703125" style="562" customWidth="1"/>
    <col min="4104" max="4104" width="15.5703125" style="562" bestFit="1" customWidth="1"/>
    <col min="4105" max="4105" width="10.7109375" style="562" bestFit="1" customWidth="1"/>
    <col min="4106" max="4352" width="8.7109375" style="562"/>
    <col min="4353" max="4353" width="7.140625" style="562" customWidth="1"/>
    <col min="4354" max="4354" width="12.28515625" style="562" customWidth="1"/>
    <col min="4355" max="4355" width="39.85546875" style="562" customWidth="1"/>
    <col min="4356" max="4356" width="12.5703125" style="562" customWidth="1"/>
    <col min="4357" max="4357" width="10.28515625" style="562" customWidth="1"/>
    <col min="4358" max="4358" width="16.85546875" style="562" customWidth="1"/>
    <col min="4359" max="4359" width="15.5703125" style="562" customWidth="1"/>
    <col min="4360" max="4360" width="15.5703125" style="562" bestFit="1" customWidth="1"/>
    <col min="4361" max="4361" width="10.7109375" style="562" bestFit="1" customWidth="1"/>
    <col min="4362" max="4608" width="8.7109375" style="562"/>
    <col min="4609" max="4609" width="7.140625" style="562" customWidth="1"/>
    <col min="4610" max="4610" width="12.28515625" style="562" customWidth="1"/>
    <col min="4611" max="4611" width="39.85546875" style="562" customWidth="1"/>
    <col min="4612" max="4612" width="12.5703125" style="562" customWidth="1"/>
    <col min="4613" max="4613" width="10.28515625" style="562" customWidth="1"/>
    <col min="4614" max="4614" width="16.85546875" style="562" customWidth="1"/>
    <col min="4615" max="4615" width="15.5703125" style="562" customWidth="1"/>
    <col min="4616" max="4616" width="15.5703125" style="562" bestFit="1" customWidth="1"/>
    <col min="4617" max="4617" width="10.7109375" style="562" bestFit="1" customWidth="1"/>
    <col min="4618" max="4864" width="8.7109375" style="562"/>
    <col min="4865" max="4865" width="7.140625" style="562" customWidth="1"/>
    <col min="4866" max="4866" width="12.28515625" style="562" customWidth="1"/>
    <col min="4867" max="4867" width="39.85546875" style="562" customWidth="1"/>
    <col min="4868" max="4868" width="12.5703125" style="562" customWidth="1"/>
    <col min="4869" max="4869" width="10.28515625" style="562" customWidth="1"/>
    <col min="4870" max="4870" width="16.85546875" style="562" customWidth="1"/>
    <col min="4871" max="4871" width="15.5703125" style="562" customWidth="1"/>
    <col min="4872" max="4872" width="15.5703125" style="562" bestFit="1" customWidth="1"/>
    <col min="4873" max="4873" width="10.7109375" style="562" bestFit="1" customWidth="1"/>
    <col min="4874" max="5120" width="8.7109375" style="562"/>
    <col min="5121" max="5121" width="7.140625" style="562" customWidth="1"/>
    <col min="5122" max="5122" width="12.28515625" style="562" customWidth="1"/>
    <col min="5123" max="5123" width="39.85546875" style="562" customWidth="1"/>
    <col min="5124" max="5124" width="12.5703125" style="562" customWidth="1"/>
    <col min="5125" max="5125" width="10.28515625" style="562" customWidth="1"/>
    <col min="5126" max="5126" width="16.85546875" style="562" customWidth="1"/>
    <col min="5127" max="5127" width="15.5703125" style="562" customWidth="1"/>
    <col min="5128" max="5128" width="15.5703125" style="562" bestFit="1" customWidth="1"/>
    <col min="5129" max="5129" width="10.7109375" style="562" bestFit="1" customWidth="1"/>
    <col min="5130" max="5376" width="8.7109375" style="562"/>
    <col min="5377" max="5377" width="7.140625" style="562" customWidth="1"/>
    <col min="5378" max="5378" width="12.28515625" style="562" customWidth="1"/>
    <col min="5379" max="5379" width="39.85546875" style="562" customWidth="1"/>
    <col min="5380" max="5380" width="12.5703125" style="562" customWidth="1"/>
    <col min="5381" max="5381" width="10.28515625" style="562" customWidth="1"/>
    <col min="5382" max="5382" width="16.85546875" style="562" customWidth="1"/>
    <col min="5383" max="5383" width="15.5703125" style="562" customWidth="1"/>
    <col min="5384" max="5384" width="15.5703125" style="562" bestFit="1" customWidth="1"/>
    <col min="5385" max="5385" width="10.7109375" style="562" bestFit="1" customWidth="1"/>
    <col min="5386" max="5632" width="8.7109375" style="562"/>
    <col min="5633" max="5633" width="7.140625" style="562" customWidth="1"/>
    <col min="5634" max="5634" width="12.28515625" style="562" customWidth="1"/>
    <col min="5635" max="5635" width="39.85546875" style="562" customWidth="1"/>
    <col min="5636" max="5636" width="12.5703125" style="562" customWidth="1"/>
    <col min="5637" max="5637" width="10.28515625" style="562" customWidth="1"/>
    <col min="5638" max="5638" width="16.85546875" style="562" customWidth="1"/>
    <col min="5639" max="5639" width="15.5703125" style="562" customWidth="1"/>
    <col min="5640" max="5640" width="15.5703125" style="562" bestFit="1" customWidth="1"/>
    <col min="5641" max="5641" width="10.7109375" style="562" bestFit="1" customWidth="1"/>
    <col min="5642" max="5888" width="8.7109375" style="562"/>
    <col min="5889" max="5889" width="7.140625" style="562" customWidth="1"/>
    <col min="5890" max="5890" width="12.28515625" style="562" customWidth="1"/>
    <col min="5891" max="5891" width="39.85546875" style="562" customWidth="1"/>
    <col min="5892" max="5892" width="12.5703125" style="562" customWidth="1"/>
    <col min="5893" max="5893" width="10.28515625" style="562" customWidth="1"/>
    <col min="5894" max="5894" width="16.85546875" style="562" customWidth="1"/>
    <col min="5895" max="5895" width="15.5703125" style="562" customWidth="1"/>
    <col min="5896" max="5896" width="15.5703125" style="562" bestFit="1" customWidth="1"/>
    <col min="5897" max="5897" width="10.7109375" style="562" bestFit="1" customWidth="1"/>
    <col min="5898" max="6144" width="8.7109375" style="562"/>
    <col min="6145" max="6145" width="7.140625" style="562" customWidth="1"/>
    <col min="6146" max="6146" width="12.28515625" style="562" customWidth="1"/>
    <col min="6147" max="6147" width="39.85546875" style="562" customWidth="1"/>
    <col min="6148" max="6148" width="12.5703125" style="562" customWidth="1"/>
    <col min="6149" max="6149" width="10.28515625" style="562" customWidth="1"/>
    <col min="6150" max="6150" width="16.85546875" style="562" customWidth="1"/>
    <col min="6151" max="6151" width="15.5703125" style="562" customWidth="1"/>
    <col min="6152" max="6152" width="15.5703125" style="562" bestFit="1" customWidth="1"/>
    <col min="6153" max="6153" width="10.7109375" style="562" bestFit="1" customWidth="1"/>
    <col min="6154" max="6400" width="8.7109375" style="562"/>
    <col min="6401" max="6401" width="7.140625" style="562" customWidth="1"/>
    <col min="6402" max="6402" width="12.28515625" style="562" customWidth="1"/>
    <col min="6403" max="6403" width="39.85546875" style="562" customWidth="1"/>
    <col min="6404" max="6404" width="12.5703125" style="562" customWidth="1"/>
    <col min="6405" max="6405" width="10.28515625" style="562" customWidth="1"/>
    <col min="6406" max="6406" width="16.85546875" style="562" customWidth="1"/>
    <col min="6407" max="6407" width="15.5703125" style="562" customWidth="1"/>
    <col min="6408" max="6408" width="15.5703125" style="562" bestFit="1" customWidth="1"/>
    <col min="6409" max="6409" width="10.7109375" style="562" bestFit="1" customWidth="1"/>
    <col min="6410" max="6656" width="8.7109375" style="562"/>
    <col min="6657" max="6657" width="7.140625" style="562" customWidth="1"/>
    <col min="6658" max="6658" width="12.28515625" style="562" customWidth="1"/>
    <col min="6659" max="6659" width="39.85546875" style="562" customWidth="1"/>
    <col min="6660" max="6660" width="12.5703125" style="562" customWidth="1"/>
    <col min="6661" max="6661" width="10.28515625" style="562" customWidth="1"/>
    <col min="6662" max="6662" width="16.85546875" style="562" customWidth="1"/>
    <col min="6663" max="6663" width="15.5703125" style="562" customWidth="1"/>
    <col min="6664" max="6664" width="15.5703125" style="562" bestFit="1" customWidth="1"/>
    <col min="6665" max="6665" width="10.7109375" style="562" bestFit="1" customWidth="1"/>
    <col min="6666" max="6912" width="8.7109375" style="562"/>
    <col min="6913" max="6913" width="7.140625" style="562" customWidth="1"/>
    <col min="6914" max="6914" width="12.28515625" style="562" customWidth="1"/>
    <col min="6915" max="6915" width="39.85546875" style="562" customWidth="1"/>
    <col min="6916" max="6916" width="12.5703125" style="562" customWidth="1"/>
    <col min="6917" max="6917" width="10.28515625" style="562" customWidth="1"/>
    <col min="6918" max="6918" width="16.85546875" style="562" customWidth="1"/>
    <col min="6919" max="6919" width="15.5703125" style="562" customWidth="1"/>
    <col min="6920" max="6920" width="15.5703125" style="562" bestFit="1" customWidth="1"/>
    <col min="6921" max="6921" width="10.7109375" style="562" bestFit="1" customWidth="1"/>
    <col min="6922" max="7168" width="8.7109375" style="562"/>
    <col min="7169" max="7169" width="7.140625" style="562" customWidth="1"/>
    <col min="7170" max="7170" width="12.28515625" style="562" customWidth="1"/>
    <col min="7171" max="7171" width="39.85546875" style="562" customWidth="1"/>
    <col min="7172" max="7172" width="12.5703125" style="562" customWidth="1"/>
    <col min="7173" max="7173" width="10.28515625" style="562" customWidth="1"/>
    <col min="7174" max="7174" width="16.85546875" style="562" customWidth="1"/>
    <col min="7175" max="7175" width="15.5703125" style="562" customWidth="1"/>
    <col min="7176" max="7176" width="15.5703125" style="562" bestFit="1" customWidth="1"/>
    <col min="7177" max="7177" width="10.7109375" style="562" bestFit="1" customWidth="1"/>
    <col min="7178" max="7424" width="8.7109375" style="562"/>
    <col min="7425" max="7425" width="7.140625" style="562" customWidth="1"/>
    <col min="7426" max="7426" width="12.28515625" style="562" customWidth="1"/>
    <col min="7427" max="7427" width="39.85546875" style="562" customWidth="1"/>
    <col min="7428" max="7428" width="12.5703125" style="562" customWidth="1"/>
    <col min="7429" max="7429" width="10.28515625" style="562" customWidth="1"/>
    <col min="7430" max="7430" width="16.85546875" style="562" customWidth="1"/>
    <col min="7431" max="7431" width="15.5703125" style="562" customWidth="1"/>
    <col min="7432" max="7432" width="15.5703125" style="562" bestFit="1" customWidth="1"/>
    <col min="7433" max="7433" width="10.7109375" style="562" bestFit="1" customWidth="1"/>
    <col min="7434" max="7680" width="8.7109375" style="562"/>
    <col min="7681" max="7681" width="7.140625" style="562" customWidth="1"/>
    <col min="7682" max="7682" width="12.28515625" style="562" customWidth="1"/>
    <col min="7683" max="7683" width="39.85546875" style="562" customWidth="1"/>
    <col min="7684" max="7684" width="12.5703125" style="562" customWidth="1"/>
    <col min="7685" max="7685" width="10.28515625" style="562" customWidth="1"/>
    <col min="7686" max="7686" width="16.85546875" style="562" customWidth="1"/>
    <col min="7687" max="7687" width="15.5703125" style="562" customWidth="1"/>
    <col min="7688" max="7688" width="15.5703125" style="562" bestFit="1" customWidth="1"/>
    <col min="7689" max="7689" width="10.7109375" style="562" bestFit="1" customWidth="1"/>
    <col min="7690" max="7936" width="8.7109375" style="562"/>
    <col min="7937" max="7937" width="7.140625" style="562" customWidth="1"/>
    <col min="7938" max="7938" width="12.28515625" style="562" customWidth="1"/>
    <col min="7939" max="7939" width="39.85546875" style="562" customWidth="1"/>
    <col min="7940" max="7940" width="12.5703125" style="562" customWidth="1"/>
    <col min="7941" max="7941" width="10.28515625" style="562" customWidth="1"/>
    <col min="7942" max="7942" width="16.85546875" style="562" customWidth="1"/>
    <col min="7943" max="7943" width="15.5703125" style="562" customWidth="1"/>
    <col min="7944" max="7944" width="15.5703125" style="562" bestFit="1" customWidth="1"/>
    <col min="7945" max="7945" width="10.7109375" style="562" bestFit="1" customWidth="1"/>
    <col min="7946" max="8192" width="8.7109375" style="562"/>
    <col min="8193" max="8193" width="7.140625" style="562" customWidth="1"/>
    <col min="8194" max="8194" width="12.28515625" style="562" customWidth="1"/>
    <col min="8195" max="8195" width="39.85546875" style="562" customWidth="1"/>
    <col min="8196" max="8196" width="12.5703125" style="562" customWidth="1"/>
    <col min="8197" max="8197" width="10.28515625" style="562" customWidth="1"/>
    <col min="8198" max="8198" width="16.85546875" style="562" customWidth="1"/>
    <col min="8199" max="8199" width="15.5703125" style="562" customWidth="1"/>
    <col min="8200" max="8200" width="15.5703125" style="562" bestFit="1" customWidth="1"/>
    <col min="8201" max="8201" width="10.7109375" style="562" bestFit="1" customWidth="1"/>
    <col min="8202" max="8448" width="8.7109375" style="562"/>
    <col min="8449" max="8449" width="7.140625" style="562" customWidth="1"/>
    <col min="8450" max="8450" width="12.28515625" style="562" customWidth="1"/>
    <col min="8451" max="8451" width="39.85546875" style="562" customWidth="1"/>
    <col min="8452" max="8452" width="12.5703125" style="562" customWidth="1"/>
    <col min="8453" max="8453" width="10.28515625" style="562" customWidth="1"/>
    <col min="8454" max="8454" width="16.85546875" style="562" customWidth="1"/>
    <col min="8455" max="8455" width="15.5703125" style="562" customWidth="1"/>
    <col min="8456" max="8456" width="15.5703125" style="562" bestFit="1" customWidth="1"/>
    <col min="8457" max="8457" width="10.7109375" style="562" bestFit="1" customWidth="1"/>
    <col min="8458" max="8704" width="8.7109375" style="562"/>
    <col min="8705" max="8705" width="7.140625" style="562" customWidth="1"/>
    <col min="8706" max="8706" width="12.28515625" style="562" customWidth="1"/>
    <col min="8707" max="8707" width="39.85546875" style="562" customWidth="1"/>
    <col min="8708" max="8708" width="12.5703125" style="562" customWidth="1"/>
    <col min="8709" max="8709" width="10.28515625" style="562" customWidth="1"/>
    <col min="8710" max="8710" width="16.85546875" style="562" customWidth="1"/>
    <col min="8711" max="8711" width="15.5703125" style="562" customWidth="1"/>
    <col min="8712" max="8712" width="15.5703125" style="562" bestFit="1" customWidth="1"/>
    <col min="8713" max="8713" width="10.7109375" style="562" bestFit="1" customWidth="1"/>
    <col min="8714" max="8960" width="8.7109375" style="562"/>
    <col min="8961" max="8961" width="7.140625" style="562" customWidth="1"/>
    <col min="8962" max="8962" width="12.28515625" style="562" customWidth="1"/>
    <col min="8963" max="8963" width="39.85546875" style="562" customWidth="1"/>
    <col min="8964" max="8964" width="12.5703125" style="562" customWidth="1"/>
    <col min="8965" max="8965" width="10.28515625" style="562" customWidth="1"/>
    <col min="8966" max="8966" width="16.85546875" style="562" customWidth="1"/>
    <col min="8967" max="8967" width="15.5703125" style="562" customWidth="1"/>
    <col min="8968" max="8968" width="15.5703125" style="562" bestFit="1" customWidth="1"/>
    <col min="8969" max="8969" width="10.7109375" style="562" bestFit="1" customWidth="1"/>
    <col min="8970" max="9216" width="8.7109375" style="562"/>
    <col min="9217" max="9217" width="7.140625" style="562" customWidth="1"/>
    <col min="9218" max="9218" width="12.28515625" style="562" customWidth="1"/>
    <col min="9219" max="9219" width="39.85546875" style="562" customWidth="1"/>
    <col min="9220" max="9220" width="12.5703125" style="562" customWidth="1"/>
    <col min="9221" max="9221" width="10.28515625" style="562" customWidth="1"/>
    <col min="9222" max="9222" width="16.85546875" style="562" customWidth="1"/>
    <col min="9223" max="9223" width="15.5703125" style="562" customWidth="1"/>
    <col min="9224" max="9224" width="15.5703125" style="562" bestFit="1" customWidth="1"/>
    <col min="9225" max="9225" width="10.7109375" style="562" bestFit="1" customWidth="1"/>
    <col min="9226" max="9472" width="8.7109375" style="562"/>
    <col min="9473" max="9473" width="7.140625" style="562" customWidth="1"/>
    <col min="9474" max="9474" width="12.28515625" style="562" customWidth="1"/>
    <col min="9475" max="9475" width="39.85546875" style="562" customWidth="1"/>
    <col min="9476" max="9476" width="12.5703125" style="562" customWidth="1"/>
    <col min="9477" max="9477" width="10.28515625" style="562" customWidth="1"/>
    <col min="9478" max="9478" width="16.85546875" style="562" customWidth="1"/>
    <col min="9479" max="9479" width="15.5703125" style="562" customWidth="1"/>
    <col min="9480" max="9480" width="15.5703125" style="562" bestFit="1" customWidth="1"/>
    <col min="9481" max="9481" width="10.7109375" style="562" bestFit="1" customWidth="1"/>
    <col min="9482" max="9728" width="8.7109375" style="562"/>
    <col min="9729" max="9729" width="7.140625" style="562" customWidth="1"/>
    <col min="9730" max="9730" width="12.28515625" style="562" customWidth="1"/>
    <col min="9731" max="9731" width="39.85546875" style="562" customWidth="1"/>
    <col min="9732" max="9732" width="12.5703125" style="562" customWidth="1"/>
    <col min="9733" max="9733" width="10.28515625" style="562" customWidth="1"/>
    <col min="9734" max="9734" width="16.85546875" style="562" customWidth="1"/>
    <col min="9735" max="9735" width="15.5703125" style="562" customWidth="1"/>
    <col min="9736" max="9736" width="15.5703125" style="562" bestFit="1" customWidth="1"/>
    <col min="9737" max="9737" width="10.7109375" style="562" bestFit="1" customWidth="1"/>
    <col min="9738" max="9984" width="8.7109375" style="562"/>
    <col min="9985" max="9985" width="7.140625" style="562" customWidth="1"/>
    <col min="9986" max="9986" width="12.28515625" style="562" customWidth="1"/>
    <col min="9987" max="9987" width="39.85546875" style="562" customWidth="1"/>
    <col min="9988" max="9988" width="12.5703125" style="562" customWidth="1"/>
    <col min="9989" max="9989" width="10.28515625" style="562" customWidth="1"/>
    <col min="9990" max="9990" width="16.85546875" style="562" customWidth="1"/>
    <col min="9991" max="9991" width="15.5703125" style="562" customWidth="1"/>
    <col min="9992" max="9992" width="15.5703125" style="562" bestFit="1" customWidth="1"/>
    <col min="9993" max="9993" width="10.7109375" style="562" bestFit="1" customWidth="1"/>
    <col min="9994" max="10240" width="8.7109375" style="562"/>
    <col min="10241" max="10241" width="7.140625" style="562" customWidth="1"/>
    <col min="10242" max="10242" width="12.28515625" style="562" customWidth="1"/>
    <col min="10243" max="10243" width="39.85546875" style="562" customWidth="1"/>
    <col min="10244" max="10244" width="12.5703125" style="562" customWidth="1"/>
    <col min="10245" max="10245" width="10.28515625" style="562" customWidth="1"/>
    <col min="10246" max="10246" width="16.85546875" style="562" customWidth="1"/>
    <col min="10247" max="10247" width="15.5703125" style="562" customWidth="1"/>
    <col min="10248" max="10248" width="15.5703125" style="562" bestFit="1" customWidth="1"/>
    <col min="10249" max="10249" width="10.7109375" style="562" bestFit="1" customWidth="1"/>
    <col min="10250" max="10496" width="8.7109375" style="562"/>
    <col min="10497" max="10497" width="7.140625" style="562" customWidth="1"/>
    <col min="10498" max="10498" width="12.28515625" style="562" customWidth="1"/>
    <col min="10499" max="10499" width="39.85546875" style="562" customWidth="1"/>
    <col min="10500" max="10500" width="12.5703125" style="562" customWidth="1"/>
    <col min="10501" max="10501" width="10.28515625" style="562" customWidth="1"/>
    <col min="10502" max="10502" width="16.85546875" style="562" customWidth="1"/>
    <col min="10503" max="10503" width="15.5703125" style="562" customWidth="1"/>
    <col min="10504" max="10504" width="15.5703125" style="562" bestFit="1" customWidth="1"/>
    <col min="10505" max="10505" width="10.7109375" style="562" bestFit="1" customWidth="1"/>
    <col min="10506" max="10752" width="8.7109375" style="562"/>
    <col min="10753" max="10753" width="7.140625" style="562" customWidth="1"/>
    <col min="10754" max="10754" width="12.28515625" style="562" customWidth="1"/>
    <col min="10755" max="10755" width="39.85546875" style="562" customWidth="1"/>
    <col min="10756" max="10756" width="12.5703125" style="562" customWidth="1"/>
    <col min="10757" max="10757" width="10.28515625" style="562" customWidth="1"/>
    <col min="10758" max="10758" width="16.85546875" style="562" customWidth="1"/>
    <col min="10759" max="10759" width="15.5703125" style="562" customWidth="1"/>
    <col min="10760" max="10760" width="15.5703125" style="562" bestFit="1" customWidth="1"/>
    <col min="10761" max="10761" width="10.7109375" style="562" bestFit="1" customWidth="1"/>
    <col min="10762" max="11008" width="8.7109375" style="562"/>
    <col min="11009" max="11009" width="7.140625" style="562" customWidth="1"/>
    <col min="11010" max="11010" width="12.28515625" style="562" customWidth="1"/>
    <col min="11011" max="11011" width="39.85546875" style="562" customWidth="1"/>
    <col min="11012" max="11012" width="12.5703125" style="562" customWidth="1"/>
    <col min="11013" max="11013" width="10.28515625" style="562" customWidth="1"/>
    <col min="11014" max="11014" width="16.85546875" style="562" customWidth="1"/>
    <col min="11015" max="11015" width="15.5703125" style="562" customWidth="1"/>
    <col min="11016" max="11016" width="15.5703125" style="562" bestFit="1" customWidth="1"/>
    <col min="11017" max="11017" width="10.7109375" style="562" bestFit="1" customWidth="1"/>
    <col min="11018" max="11264" width="8.7109375" style="562"/>
    <col min="11265" max="11265" width="7.140625" style="562" customWidth="1"/>
    <col min="11266" max="11266" width="12.28515625" style="562" customWidth="1"/>
    <col min="11267" max="11267" width="39.85546875" style="562" customWidth="1"/>
    <col min="11268" max="11268" width="12.5703125" style="562" customWidth="1"/>
    <col min="11269" max="11269" width="10.28515625" style="562" customWidth="1"/>
    <col min="11270" max="11270" width="16.85546875" style="562" customWidth="1"/>
    <col min="11271" max="11271" width="15.5703125" style="562" customWidth="1"/>
    <col min="11272" max="11272" width="15.5703125" style="562" bestFit="1" customWidth="1"/>
    <col min="11273" max="11273" width="10.7109375" style="562" bestFit="1" customWidth="1"/>
    <col min="11274" max="11520" width="8.7109375" style="562"/>
    <col min="11521" max="11521" width="7.140625" style="562" customWidth="1"/>
    <col min="11522" max="11522" width="12.28515625" style="562" customWidth="1"/>
    <col min="11523" max="11523" width="39.85546875" style="562" customWidth="1"/>
    <col min="11524" max="11524" width="12.5703125" style="562" customWidth="1"/>
    <col min="11525" max="11525" width="10.28515625" style="562" customWidth="1"/>
    <col min="11526" max="11526" width="16.85546875" style="562" customWidth="1"/>
    <col min="11527" max="11527" width="15.5703125" style="562" customWidth="1"/>
    <col min="11528" max="11528" width="15.5703125" style="562" bestFit="1" customWidth="1"/>
    <col min="11529" max="11529" width="10.7109375" style="562" bestFit="1" customWidth="1"/>
    <col min="11530" max="11776" width="8.7109375" style="562"/>
    <col min="11777" max="11777" width="7.140625" style="562" customWidth="1"/>
    <col min="11778" max="11778" width="12.28515625" style="562" customWidth="1"/>
    <col min="11779" max="11779" width="39.85546875" style="562" customWidth="1"/>
    <col min="11780" max="11780" width="12.5703125" style="562" customWidth="1"/>
    <col min="11781" max="11781" width="10.28515625" style="562" customWidth="1"/>
    <col min="11782" max="11782" width="16.85546875" style="562" customWidth="1"/>
    <col min="11783" max="11783" width="15.5703125" style="562" customWidth="1"/>
    <col min="11784" max="11784" width="15.5703125" style="562" bestFit="1" customWidth="1"/>
    <col min="11785" max="11785" width="10.7109375" style="562" bestFit="1" customWidth="1"/>
    <col min="11786" max="12032" width="8.7109375" style="562"/>
    <col min="12033" max="12033" width="7.140625" style="562" customWidth="1"/>
    <col min="12034" max="12034" width="12.28515625" style="562" customWidth="1"/>
    <col min="12035" max="12035" width="39.85546875" style="562" customWidth="1"/>
    <col min="12036" max="12036" width="12.5703125" style="562" customWidth="1"/>
    <col min="12037" max="12037" width="10.28515625" style="562" customWidth="1"/>
    <col min="12038" max="12038" width="16.85546875" style="562" customWidth="1"/>
    <col min="12039" max="12039" width="15.5703125" style="562" customWidth="1"/>
    <col min="12040" max="12040" width="15.5703125" style="562" bestFit="1" customWidth="1"/>
    <col min="12041" max="12041" width="10.7109375" style="562" bestFit="1" customWidth="1"/>
    <col min="12042" max="12288" width="8.7109375" style="562"/>
    <col min="12289" max="12289" width="7.140625" style="562" customWidth="1"/>
    <col min="12290" max="12290" width="12.28515625" style="562" customWidth="1"/>
    <col min="12291" max="12291" width="39.85546875" style="562" customWidth="1"/>
    <col min="12292" max="12292" width="12.5703125" style="562" customWidth="1"/>
    <col min="12293" max="12293" width="10.28515625" style="562" customWidth="1"/>
    <col min="12294" max="12294" width="16.85546875" style="562" customWidth="1"/>
    <col min="12295" max="12295" width="15.5703125" style="562" customWidth="1"/>
    <col min="12296" max="12296" width="15.5703125" style="562" bestFit="1" customWidth="1"/>
    <col min="12297" max="12297" width="10.7109375" style="562" bestFit="1" customWidth="1"/>
    <col min="12298" max="12544" width="8.7109375" style="562"/>
    <col min="12545" max="12545" width="7.140625" style="562" customWidth="1"/>
    <col min="12546" max="12546" width="12.28515625" style="562" customWidth="1"/>
    <col min="12547" max="12547" width="39.85546875" style="562" customWidth="1"/>
    <col min="12548" max="12548" width="12.5703125" style="562" customWidth="1"/>
    <col min="12549" max="12549" width="10.28515625" style="562" customWidth="1"/>
    <col min="12550" max="12550" width="16.85546875" style="562" customWidth="1"/>
    <col min="12551" max="12551" width="15.5703125" style="562" customWidth="1"/>
    <col min="12552" max="12552" width="15.5703125" style="562" bestFit="1" customWidth="1"/>
    <col min="12553" max="12553" width="10.7109375" style="562" bestFit="1" customWidth="1"/>
    <col min="12554" max="12800" width="8.7109375" style="562"/>
    <col min="12801" max="12801" width="7.140625" style="562" customWidth="1"/>
    <col min="12802" max="12802" width="12.28515625" style="562" customWidth="1"/>
    <col min="12803" max="12803" width="39.85546875" style="562" customWidth="1"/>
    <col min="12804" max="12804" width="12.5703125" style="562" customWidth="1"/>
    <col min="12805" max="12805" width="10.28515625" style="562" customWidth="1"/>
    <col min="12806" max="12806" width="16.85546875" style="562" customWidth="1"/>
    <col min="12807" max="12807" width="15.5703125" style="562" customWidth="1"/>
    <col min="12808" max="12808" width="15.5703125" style="562" bestFit="1" customWidth="1"/>
    <col min="12809" max="12809" width="10.7109375" style="562" bestFit="1" customWidth="1"/>
    <col min="12810" max="13056" width="8.7109375" style="562"/>
    <col min="13057" max="13057" width="7.140625" style="562" customWidth="1"/>
    <col min="13058" max="13058" width="12.28515625" style="562" customWidth="1"/>
    <col min="13059" max="13059" width="39.85546875" style="562" customWidth="1"/>
    <col min="13060" max="13060" width="12.5703125" style="562" customWidth="1"/>
    <col min="13061" max="13061" width="10.28515625" style="562" customWidth="1"/>
    <col min="13062" max="13062" width="16.85546875" style="562" customWidth="1"/>
    <col min="13063" max="13063" width="15.5703125" style="562" customWidth="1"/>
    <col min="13064" max="13064" width="15.5703125" style="562" bestFit="1" customWidth="1"/>
    <col min="13065" max="13065" width="10.7109375" style="562" bestFit="1" customWidth="1"/>
    <col min="13066" max="13312" width="8.7109375" style="562"/>
    <col min="13313" max="13313" width="7.140625" style="562" customWidth="1"/>
    <col min="13314" max="13314" width="12.28515625" style="562" customWidth="1"/>
    <col min="13315" max="13315" width="39.85546875" style="562" customWidth="1"/>
    <col min="13316" max="13316" width="12.5703125" style="562" customWidth="1"/>
    <col min="13317" max="13317" width="10.28515625" style="562" customWidth="1"/>
    <col min="13318" max="13318" width="16.85546875" style="562" customWidth="1"/>
    <col min="13319" max="13319" width="15.5703125" style="562" customWidth="1"/>
    <col min="13320" max="13320" width="15.5703125" style="562" bestFit="1" customWidth="1"/>
    <col min="13321" max="13321" width="10.7109375" style="562" bestFit="1" customWidth="1"/>
    <col min="13322" max="13568" width="8.7109375" style="562"/>
    <col min="13569" max="13569" width="7.140625" style="562" customWidth="1"/>
    <col min="13570" max="13570" width="12.28515625" style="562" customWidth="1"/>
    <col min="13571" max="13571" width="39.85546875" style="562" customWidth="1"/>
    <col min="13572" max="13572" width="12.5703125" style="562" customWidth="1"/>
    <col min="13573" max="13573" width="10.28515625" style="562" customWidth="1"/>
    <col min="13574" max="13574" width="16.85546875" style="562" customWidth="1"/>
    <col min="13575" max="13575" width="15.5703125" style="562" customWidth="1"/>
    <col min="13576" max="13576" width="15.5703125" style="562" bestFit="1" customWidth="1"/>
    <col min="13577" max="13577" width="10.7109375" style="562" bestFit="1" customWidth="1"/>
    <col min="13578" max="13824" width="8.7109375" style="562"/>
    <col min="13825" max="13825" width="7.140625" style="562" customWidth="1"/>
    <col min="13826" max="13826" width="12.28515625" style="562" customWidth="1"/>
    <col min="13827" max="13827" width="39.85546875" style="562" customWidth="1"/>
    <col min="13828" max="13828" width="12.5703125" style="562" customWidth="1"/>
    <col min="13829" max="13829" width="10.28515625" style="562" customWidth="1"/>
    <col min="13830" max="13830" width="16.85546875" style="562" customWidth="1"/>
    <col min="13831" max="13831" width="15.5703125" style="562" customWidth="1"/>
    <col min="13832" max="13832" width="15.5703125" style="562" bestFit="1" customWidth="1"/>
    <col min="13833" max="13833" width="10.7109375" style="562" bestFit="1" customWidth="1"/>
    <col min="13834" max="14080" width="8.7109375" style="562"/>
    <col min="14081" max="14081" width="7.140625" style="562" customWidth="1"/>
    <col min="14082" max="14082" width="12.28515625" style="562" customWidth="1"/>
    <col min="14083" max="14083" width="39.85546875" style="562" customWidth="1"/>
    <col min="14084" max="14084" width="12.5703125" style="562" customWidth="1"/>
    <col min="14085" max="14085" width="10.28515625" style="562" customWidth="1"/>
    <col min="14086" max="14086" width="16.85546875" style="562" customWidth="1"/>
    <col min="14087" max="14087" width="15.5703125" style="562" customWidth="1"/>
    <col min="14088" max="14088" width="15.5703125" style="562" bestFit="1" customWidth="1"/>
    <col min="14089" max="14089" width="10.7109375" style="562" bestFit="1" customWidth="1"/>
    <col min="14090" max="14336" width="8.7109375" style="562"/>
    <col min="14337" max="14337" width="7.140625" style="562" customWidth="1"/>
    <col min="14338" max="14338" width="12.28515625" style="562" customWidth="1"/>
    <col min="14339" max="14339" width="39.85546875" style="562" customWidth="1"/>
    <col min="14340" max="14340" width="12.5703125" style="562" customWidth="1"/>
    <col min="14341" max="14341" width="10.28515625" style="562" customWidth="1"/>
    <col min="14342" max="14342" width="16.85546875" style="562" customWidth="1"/>
    <col min="14343" max="14343" width="15.5703125" style="562" customWidth="1"/>
    <col min="14344" max="14344" width="15.5703125" style="562" bestFit="1" customWidth="1"/>
    <col min="14345" max="14345" width="10.7109375" style="562" bestFit="1" customWidth="1"/>
    <col min="14346" max="14592" width="8.7109375" style="562"/>
    <col min="14593" max="14593" width="7.140625" style="562" customWidth="1"/>
    <col min="14594" max="14594" width="12.28515625" style="562" customWidth="1"/>
    <col min="14595" max="14595" width="39.85546875" style="562" customWidth="1"/>
    <col min="14596" max="14596" width="12.5703125" style="562" customWidth="1"/>
    <col min="14597" max="14597" width="10.28515625" style="562" customWidth="1"/>
    <col min="14598" max="14598" width="16.85546875" style="562" customWidth="1"/>
    <col min="14599" max="14599" width="15.5703125" style="562" customWidth="1"/>
    <col min="14600" max="14600" width="15.5703125" style="562" bestFit="1" customWidth="1"/>
    <col min="14601" max="14601" width="10.7109375" style="562" bestFit="1" customWidth="1"/>
    <col min="14602" max="14848" width="8.7109375" style="562"/>
    <col min="14849" max="14849" width="7.140625" style="562" customWidth="1"/>
    <col min="14850" max="14850" width="12.28515625" style="562" customWidth="1"/>
    <col min="14851" max="14851" width="39.85546875" style="562" customWidth="1"/>
    <col min="14852" max="14852" width="12.5703125" style="562" customWidth="1"/>
    <col min="14853" max="14853" width="10.28515625" style="562" customWidth="1"/>
    <col min="14854" max="14854" width="16.85546875" style="562" customWidth="1"/>
    <col min="14855" max="14855" width="15.5703125" style="562" customWidth="1"/>
    <col min="14856" max="14856" width="15.5703125" style="562" bestFit="1" customWidth="1"/>
    <col min="14857" max="14857" width="10.7109375" style="562" bestFit="1" customWidth="1"/>
    <col min="14858" max="15104" width="8.7109375" style="562"/>
    <col min="15105" max="15105" width="7.140625" style="562" customWidth="1"/>
    <col min="15106" max="15106" width="12.28515625" style="562" customWidth="1"/>
    <col min="15107" max="15107" width="39.85546875" style="562" customWidth="1"/>
    <col min="15108" max="15108" width="12.5703125" style="562" customWidth="1"/>
    <col min="15109" max="15109" width="10.28515625" style="562" customWidth="1"/>
    <col min="15110" max="15110" width="16.85546875" style="562" customWidth="1"/>
    <col min="15111" max="15111" width="15.5703125" style="562" customWidth="1"/>
    <col min="15112" max="15112" width="15.5703125" style="562" bestFit="1" customWidth="1"/>
    <col min="15113" max="15113" width="10.7109375" style="562" bestFit="1" customWidth="1"/>
    <col min="15114" max="15360" width="8.7109375" style="562"/>
    <col min="15361" max="15361" width="7.140625" style="562" customWidth="1"/>
    <col min="15362" max="15362" width="12.28515625" style="562" customWidth="1"/>
    <col min="15363" max="15363" width="39.85546875" style="562" customWidth="1"/>
    <col min="15364" max="15364" width="12.5703125" style="562" customWidth="1"/>
    <col min="15365" max="15365" width="10.28515625" style="562" customWidth="1"/>
    <col min="15366" max="15366" width="16.85546875" style="562" customWidth="1"/>
    <col min="15367" max="15367" width="15.5703125" style="562" customWidth="1"/>
    <col min="15368" max="15368" width="15.5703125" style="562" bestFit="1" customWidth="1"/>
    <col min="15369" max="15369" width="10.7109375" style="562" bestFit="1" customWidth="1"/>
    <col min="15370" max="15616" width="8.7109375" style="562"/>
    <col min="15617" max="15617" width="7.140625" style="562" customWidth="1"/>
    <col min="15618" max="15618" width="12.28515625" style="562" customWidth="1"/>
    <col min="15619" max="15619" width="39.85546875" style="562" customWidth="1"/>
    <col min="15620" max="15620" width="12.5703125" style="562" customWidth="1"/>
    <col min="15621" max="15621" width="10.28515625" style="562" customWidth="1"/>
    <col min="15622" max="15622" width="16.85546875" style="562" customWidth="1"/>
    <col min="15623" max="15623" width="15.5703125" style="562" customWidth="1"/>
    <col min="15624" max="15624" width="15.5703125" style="562" bestFit="1" customWidth="1"/>
    <col min="15625" max="15625" width="10.7109375" style="562" bestFit="1" customWidth="1"/>
    <col min="15626" max="15872" width="8.7109375" style="562"/>
    <col min="15873" max="15873" width="7.140625" style="562" customWidth="1"/>
    <col min="15874" max="15874" width="12.28515625" style="562" customWidth="1"/>
    <col min="15875" max="15875" width="39.85546875" style="562" customWidth="1"/>
    <col min="15876" max="15876" width="12.5703125" style="562" customWidth="1"/>
    <col min="15877" max="15877" width="10.28515625" style="562" customWidth="1"/>
    <col min="15878" max="15878" width="16.85546875" style="562" customWidth="1"/>
    <col min="15879" max="15879" width="15.5703125" style="562" customWidth="1"/>
    <col min="15880" max="15880" width="15.5703125" style="562" bestFit="1" customWidth="1"/>
    <col min="15881" max="15881" width="10.7109375" style="562" bestFit="1" customWidth="1"/>
    <col min="15882" max="16128" width="8.7109375" style="562"/>
    <col min="16129" max="16129" width="7.140625" style="562" customWidth="1"/>
    <col min="16130" max="16130" width="12.28515625" style="562" customWidth="1"/>
    <col min="16131" max="16131" width="39.85546875" style="562" customWidth="1"/>
    <col min="16132" max="16132" width="12.5703125" style="562" customWidth="1"/>
    <col min="16133" max="16133" width="10.28515625" style="562" customWidth="1"/>
    <col min="16134" max="16134" width="16.85546875" style="562" customWidth="1"/>
    <col min="16135" max="16135" width="15.5703125" style="562" customWidth="1"/>
    <col min="16136" max="16136" width="15.5703125" style="562" bestFit="1" customWidth="1"/>
    <col min="16137" max="16137" width="10.7109375" style="562" bestFit="1" customWidth="1"/>
    <col min="16138" max="16384" width="8.7109375" style="562"/>
  </cols>
  <sheetData>
    <row r="1" spans="1:9" ht="68.25" customHeight="1">
      <c r="A1" s="746" t="str">
        <f>Details!A1</f>
        <v>NAME OF WORK: PROVIDING SPECIAL REPAIR WORK TO THE EXISTING SUB JAIL BUILDING AT GUDALUR IN THE NILGIRI DISTRICT</v>
      </c>
      <c r="B1" s="746"/>
      <c r="C1" s="746"/>
      <c r="D1" s="746"/>
      <c r="E1" s="746"/>
      <c r="F1" s="746"/>
      <c r="G1" s="561"/>
      <c r="H1" s="561"/>
    </row>
    <row r="2" spans="1:9" ht="25.5" customHeight="1">
      <c r="A2" s="747" t="s">
        <v>2926</v>
      </c>
      <c r="B2" s="747"/>
      <c r="C2" s="747"/>
      <c r="D2" s="747"/>
      <c r="E2" s="747"/>
      <c r="F2" s="747"/>
    </row>
    <row r="3" spans="1:9" ht="33.75" customHeight="1">
      <c r="A3" s="668" t="s">
        <v>2927</v>
      </c>
      <c r="B3" s="563" t="s">
        <v>51</v>
      </c>
      <c r="C3" s="563" t="s">
        <v>2928</v>
      </c>
      <c r="D3" s="639" t="s">
        <v>2855</v>
      </c>
      <c r="E3" s="563" t="s">
        <v>54</v>
      </c>
      <c r="F3" s="564" t="s">
        <v>2856</v>
      </c>
    </row>
    <row r="4" spans="1:9" s="679" customFormat="1" ht="55.5" customHeight="1">
      <c r="A4" s="668">
        <v>1</v>
      </c>
      <c r="B4" s="665">
        <f>Details!H7</f>
        <v>0.85</v>
      </c>
      <c r="C4" s="666" t="s">
        <v>3138</v>
      </c>
      <c r="D4" s="667">
        <f>I4</f>
        <v>8932</v>
      </c>
      <c r="E4" s="678" t="s">
        <v>249</v>
      </c>
      <c r="F4" s="565">
        <f>D4*B4</f>
        <v>7592.2</v>
      </c>
      <c r="G4" s="679">
        <v>6380</v>
      </c>
      <c r="H4" s="679">
        <f>G4*40%</f>
        <v>2552</v>
      </c>
      <c r="I4" s="679">
        <f>G4+H4</f>
        <v>8932</v>
      </c>
    </row>
    <row r="5" spans="1:9" s="679" customFormat="1" ht="61.5" customHeight="1">
      <c r="A5" s="668">
        <v>2</v>
      </c>
      <c r="B5" s="665">
        <f>Details!H12</f>
        <v>327</v>
      </c>
      <c r="C5" s="680" t="s">
        <v>3020</v>
      </c>
      <c r="D5" s="667">
        <f>Sheet2!F52</f>
        <v>437.08035999999993</v>
      </c>
      <c r="E5" s="678" t="s">
        <v>788</v>
      </c>
      <c r="F5" s="565">
        <f t="shared" ref="F5:F47" si="0">D5*B5</f>
        <v>142925.27771999998</v>
      </c>
    </row>
    <row r="6" spans="1:9" s="679" customFormat="1" ht="53.25" customHeight="1">
      <c r="A6" s="668">
        <v>3</v>
      </c>
      <c r="B6" s="665">
        <f>Details!H16</f>
        <v>51.75</v>
      </c>
      <c r="C6" s="666" t="s">
        <v>3023</v>
      </c>
      <c r="D6" s="667">
        <f>Sheet2!F59</f>
        <v>733.99000000000012</v>
      </c>
      <c r="E6" s="678" t="s">
        <v>788</v>
      </c>
      <c r="F6" s="565">
        <f t="shared" si="0"/>
        <v>37983.982500000006</v>
      </c>
    </row>
    <row r="7" spans="1:9" s="679" customFormat="1" ht="102.75" customHeight="1">
      <c r="A7" s="668">
        <v>4</v>
      </c>
      <c r="B7" s="665">
        <f>Details!H18</f>
        <v>3000</v>
      </c>
      <c r="C7" s="681" t="s">
        <v>3139</v>
      </c>
      <c r="D7" s="688">
        <f>H7</f>
        <v>10.807</v>
      </c>
      <c r="E7" s="678" t="s">
        <v>793</v>
      </c>
      <c r="F7" s="565">
        <f t="shared" si="0"/>
        <v>32421</v>
      </c>
      <c r="G7" s="679">
        <v>10807</v>
      </c>
      <c r="H7" s="679">
        <f>G7/1000</f>
        <v>10.807</v>
      </c>
    </row>
    <row r="8" spans="1:9" s="679" customFormat="1" ht="99.75" customHeight="1">
      <c r="A8" s="668">
        <v>5</v>
      </c>
      <c r="B8" s="665">
        <f>Details!H21</f>
        <v>40</v>
      </c>
      <c r="C8" s="621" t="s">
        <v>3140</v>
      </c>
      <c r="D8" s="667">
        <f>H8</f>
        <v>31.007000000000001</v>
      </c>
      <c r="E8" s="678" t="s">
        <v>793</v>
      </c>
      <c r="F8" s="565">
        <f t="shared" si="0"/>
        <v>1240.28</v>
      </c>
      <c r="G8" s="679">
        <v>31007</v>
      </c>
      <c r="H8" s="679">
        <f>G8/1000</f>
        <v>31.007000000000001</v>
      </c>
    </row>
    <row r="9" spans="1:9" s="679" customFormat="1" ht="63" customHeight="1">
      <c r="A9" s="668">
        <v>6</v>
      </c>
      <c r="B9" s="665">
        <f>Details!H26</f>
        <v>106.6</v>
      </c>
      <c r="C9" s="682" t="s">
        <v>3141</v>
      </c>
      <c r="D9" s="667">
        <v>2000</v>
      </c>
      <c r="E9" s="678" t="s">
        <v>788</v>
      </c>
      <c r="F9" s="565">
        <f t="shared" si="0"/>
        <v>213200</v>
      </c>
    </row>
    <row r="10" spans="1:9" s="679" customFormat="1" ht="78.75" customHeight="1">
      <c r="A10" s="668">
        <v>7</v>
      </c>
      <c r="B10" s="665">
        <f>Details!H32</f>
        <v>9.4</v>
      </c>
      <c r="C10" s="683" t="s">
        <v>3142</v>
      </c>
      <c r="D10" s="667">
        <f>I10</f>
        <v>185.36</v>
      </c>
      <c r="E10" s="678" t="s">
        <v>788</v>
      </c>
      <c r="F10" s="565">
        <f t="shared" si="0"/>
        <v>1742.3840000000002</v>
      </c>
      <c r="G10" s="679">
        <v>132.4</v>
      </c>
      <c r="H10" s="679">
        <f>G10*40%</f>
        <v>52.960000000000008</v>
      </c>
      <c r="I10" s="679">
        <f>G10+H10</f>
        <v>185.36</v>
      </c>
    </row>
    <row r="11" spans="1:9" s="679" customFormat="1" ht="38.25" customHeight="1">
      <c r="A11" s="668">
        <v>8</v>
      </c>
      <c r="B11" s="665">
        <f>Details!H35</f>
        <v>4</v>
      </c>
      <c r="C11" s="683" t="s">
        <v>3143</v>
      </c>
      <c r="D11" s="667">
        <f>Sheet2!F77</f>
        <v>4840.87</v>
      </c>
      <c r="E11" s="678" t="s">
        <v>793</v>
      </c>
      <c r="F11" s="565">
        <f t="shared" si="0"/>
        <v>19363.48</v>
      </c>
    </row>
    <row r="12" spans="1:9" s="679" customFormat="1" ht="42" customHeight="1">
      <c r="A12" s="668">
        <v>9</v>
      </c>
      <c r="B12" s="665">
        <f>Details!H41</f>
        <v>288</v>
      </c>
      <c r="C12" s="683" t="s">
        <v>3030</v>
      </c>
      <c r="D12" s="667">
        <f>Sheet2!F79</f>
        <v>70.150000000000006</v>
      </c>
      <c r="E12" s="678" t="s">
        <v>392</v>
      </c>
      <c r="F12" s="565">
        <f t="shared" si="0"/>
        <v>20203.2</v>
      </c>
    </row>
    <row r="13" spans="1:9" s="679" customFormat="1" ht="78.75" customHeight="1">
      <c r="A13" s="668">
        <v>10</v>
      </c>
      <c r="B13" s="665">
        <f>Details!H47</f>
        <v>1.85</v>
      </c>
      <c r="C13" s="683" t="s">
        <v>2977</v>
      </c>
      <c r="D13" s="667">
        <f>Sheet2!F90</f>
        <v>7406.62</v>
      </c>
      <c r="E13" s="678" t="s">
        <v>249</v>
      </c>
      <c r="F13" s="565">
        <f t="shared" si="0"/>
        <v>13702.247000000001</v>
      </c>
    </row>
    <row r="14" spans="1:9" s="679" customFormat="1" ht="57" customHeight="1">
      <c r="A14" s="668">
        <v>11</v>
      </c>
      <c r="B14" s="665">
        <f>Details!H52</f>
        <v>1.75</v>
      </c>
      <c r="C14" s="683" t="s">
        <v>3144</v>
      </c>
      <c r="D14" s="667">
        <f>Sheet2!F103</f>
        <v>9262.26</v>
      </c>
      <c r="E14" s="678" t="s">
        <v>249</v>
      </c>
      <c r="F14" s="565">
        <f t="shared" si="0"/>
        <v>16208.955</v>
      </c>
    </row>
    <row r="15" spans="1:9" s="679" customFormat="1" ht="40.5" customHeight="1">
      <c r="A15" s="668">
        <v>12</v>
      </c>
      <c r="B15" s="665">
        <f>Details!H57</f>
        <v>2.6</v>
      </c>
      <c r="C15" s="683" t="s">
        <v>3145</v>
      </c>
      <c r="D15" s="667">
        <f>Sheet2!F117</f>
        <v>9294.49</v>
      </c>
      <c r="E15" s="678" t="s">
        <v>249</v>
      </c>
      <c r="F15" s="565">
        <f t="shared" si="0"/>
        <v>24165.673999999999</v>
      </c>
    </row>
    <row r="16" spans="1:9" s="679" customFormat="1" ht="66" customHeight="1">
      <c r="A16" s="668">
        <v>13</v>
      </c>
      <c r="B16" s="665">
        <f>Details!H60</f>
        <v>2.2000000000000002</v>
      </c>
      <c r="C16" s="683" t="s">
        <v>3146</v>
      </c>
      <c r="D16" s="667">
        <f>Sheet2!F126</f>
        <v>1174.9100000000001</v>
      </c>
      <c r="E16" s="678" t="s">
        <v>788</v>
      </c>
      <c r="F16" s="565">
        <f t="shared" si="0"/>
        <v>2584.8020000000006</v>
      </c>
    </row>
    <row r="17" spans="1:6" s="679" customFormat="1" ht="78.75" customHeight="1">
      <c r="A17" s="668">
        <v>14</v>
      </c>
      <c r="B17" s="665">
        <f>Details!H67</f>
        <v>11.4</v>
      </c>
      <c r="C17" s="683" t="s">
        <v>2978</v>
      </c>
      <c r="D17" s="667">
        <f>Sheet2!F135</f>
        <v>341.98</v>
      </c>
      <c r="E17" s="678" t="s">
        <v>788</v>
      </c>
      <c r="F17" s="565">
        <f t="shared" si="0"/>
        <v>3898.5720000000001</v>
      </c>
    </row>
    <row r="18" spans="1:6" s="679" customFormat="1" ht="78.75" customHeight="1">
      <c r="A18" s="668">
        <v>15</v>
      </c>
      <c r="B18" s="665">
        <f>Details!H74</f>
        <v>5.0999999999999996</v>
      </c>
      <c r="C18" s="683" t="s">
        <v>2979</v>
      </c>
      <c r="D18" s="667">
        <f>Sheet2!F145</f>
        <v>679.34</v>
      </c>
      <c r="E18" s="678" t="s">
        <v>788</v>
      </c>
      <c r="F18" s="565">
        <f t="shared" si="0"/>
        <v>3464.634</v>
      </c>
    </row>
    <row r="19" spans="1:6" s="679" customFormat="1" ht="78.75" customHeight="1">
      <c r="A19" s="668">
        <v>16</v>
      </c>
      <c r="B19" s="665">
        <f>Details!H81</f>
        <v>129</v>
      </c>
      <c r="C19" s="683" t="s">
        <v>3038</v>
      </c>
      <c r="D19" s="667">
        <f>Sheet2!F154</f>
        <v>335.9</v>
      </c>
      <c r="E19" s="678" t="s">
        <v>788</v>
      </c>
      <c r="F19" s="565">
        <f t="shared" si="0"/>
        <v>43331.1</v>
      </c>
    </row>
    <row r="20" spans="1:6" s="679" customFormat="1" ht="35.25" customHeight="1">
      <c r="A20" s="668">
        <v>17</v>
      </c>
      <c r="B20" s="665">
        <f>Details!H85</f>
        <v>4</v>
      </c>
      <c r="C20" s="683" t="s">
        <v>2949</v>
      </c>
      <c r="D20" s="667">
        <f>Sheet2!F169</f>
        <v>490</v>
      </c>
      <c r="E20" s="678" t="s">
        <v>793</v>
      </c>
      <c r="F20" s="565">
        <f t="shared" si="0"/>
        <v>1960</v>
      </c>
    </row>
    <row r="21" spans="1:6" s="679" customFormat="1" ht="39.75" customHeight="1">
      <c r="A21" s="668">
        <v>18</v>
      </c>
      <c r="B21" s="665">
        <f>Details!H87</f>
        <v>2</v>
      </c>
      <c r="C21" s="683" t="s">
        <v>2950</v>
      </c>
      <c r="D21" s="667">
        <f>Sheet2!D169</f>
        <v>538</v>
      </c>
      <c r="E21" s="678" t="s">
        <v>793</v>
      </c>
      <c r="F21" s="565">
        <f t="shared" si="0"/>
        <v>1076</v>
      </c>
    </row>
    <row r="22" spans="1:6" s="679" customFormat="1" ht="37.5" customHeight="1">
      <c r="A22" s="668">
        <v>19</v>
      </c>
      <c r="B22" s="665">
        <f>Details!H90</f>
        <v>20</v>
      </c>
      <c r="C22" s="683" t="s">
        <v>2952</v>
      </c>
      <c r="D22" s="667">
        <f>Sheet2!F184</f>
        <v>283.85000000000002</v>
      </c>
      <c r="E22" s="678" t="s">
        <v>793</v>
      </c>
      <c r="F22" s="565">
        <f t="shared" si="0"/>
        <v>5677</v>
      </c>
    </row>
    <row r="23" spans="1:6" s="679" customFormat="1" ht="37.5" customHeight="1">
      <c r="A23" s="668">
        <v>20</v>
      </c>
      <c r="B23" s="665">
        <f>Details!H93</f>
        <v>20</v>
      </c>
      <c r="C23" s="683" t="s">
        <v>3147</v>
      </c>
      <c r="D23" s="667">
        <f>Sheet2!F190</f>
        <v>288.63</v>
      </c>
      <c r="E23" s="678" t="s">
        <v>793</v>
      </c>
      <c r="F23" s="565">
        <f t="shared" si="0"/>
        <v>5772.6</v>
      </c>
    </row>
    <row r="24" spans="1:6" s="679" customFormat="1" ht="40.5" customHeight="1">
      <c r="A24" s="668">
        <v>20</v>
      </c>
      <c r="B24" s="665">
        <f>Details!H96</f>
        <v>3</v>
      </c>
      <c r="C24" s="683" t="s">
        <v>3148</v>
      </c>
      <c r="D24" s="667">
        <f>Sheet2!F210</f>
        <v>4141.3</v>
      </c>
      <c r="E24" s="678" t="s">
        <v>793</v>
      </c>
      <c r="F24" s="565">
        <f t="shared" si="0"/>
        <v>12423.900000000001</v>
      </c>
    </row>
    <row r="25" spans="1:6" s="679" customFormat="1" ht="55.5" customHeight="1">
      <c r="A25" s="668">
        <v>21</v>
      </c>
      <c r="B25" s="665">
        <f>Details!H98</f>
        <v>3</v>
      </c>
      <c r="C25" s="683" t="s">
        <v>3095</v>
      </c>
      <c r="D25" s="667">
        <f>Sheet2!F216</f>
        <v>160</v>
      </c>
      <c r="E25" s="678" t="s">
        <v>793</v>
      </c>
      <c r="F25" s="565">
        <f t="shared" si="0"/>
        <v>480</v>
      </c>
    </row>
    <row r="26" spans="1:6" s="679" customFormat="1" ht="56.25" customHeight="1">
      <c r="A26" s="668">
        <v>22</v>
      </c>
      <c r="B26" s="665">
        <f>Details!H100</f>
        <v>15</v>
      </c>
      <c r="C26" s="683" t="s">
        <v>3096</v>
      </c>
      <c r="D26" s="667">
        <f>Sheet2!F239</f>
        <v>851.42</v>
      </c>
      <c r="E26" s="678" t="s">
        <v>1125</v>
      </c>
      <c r="F26" s="565">
        <f t="shared" si="0"/>
        <v>12771.3</v>
      </c>
    </row>
    <row r="27" spans="1:6" s="679" customFormat="1" ht="55.5" customHeight="1">
      <c r="A27" s="668">
        <v>23</v>
      </c>
      <c r="B27" s="665">
        <f>Details!H103</f>
        <v>18</v>
      </c>
      <c r="C27" s="683" t="s">
        <v>3097</v>
      </c>
      <c r="D27" s="667">
        <f>Sheet2!F252</f>
        <v>733</v>
      </c>
      <c r="E27" s="678" t="s">
        <v>1125</v>
      </c>
      <c r="F27" s="565">
        <f t="shared" si="0"/>
        <v>13194</v>
      </c>
    </row>
    <row r="28" spans="1:6" s="679" customFormat="1" ht="56.25" customHeight="1">
      <c r="A28" s="668">
        <v>24</v>
      </c>
      <c r="B28" s="665">
        <f>Details!H105</f>
        <v>6</v>
      </c>
      <c r="C28" s="683" t="s">
        <v>3099</v>
      </c>
      <c r="D28" s="667">
        <f>Sheet2!F266</f>
        <v>390.21</v>
      </c>
      <c r="E28" s="678" t="s">
        <v>1125</v>
      </c>
      <c r="F28" s="565">
        <f t="shared" si="0"/>
        <v>2341.2599999999998</v>
      </c>
    </row>
    <row r="29" spans="1:6" s="679" customFormat="1" ht="47.25" customHeight="1">
      <c r="A29" s="668">
        <v>25</v>
      </c>
      <c r="B29" s="665">
        <f>Details!H108</f>
        <v>15</v>
      </c>
      <c r="C29" s="683" t="s">
        <v>3100</v>
      </c>
      <c r="D29" s="667">
        <f>Sheet2!F285</f>
        <v>522.41</v>
      </c>
      <c r="E29" s="678" t="s">
        <v>1125</v>
      </c>
      <c r="F29" s="565">
        <f t="shared" si="0"/>
        <v>7836.15</v>
      </c>
    </row>
    <row r="30" spans="1:6" s="679" customFormat="1" ht="44.25" customHeight="1">
      <c r="A30" s="668">
        <v>26</v>
      </c>
      <c r="B30" s="665">
        <f>Details!H115</f>
        <v>2.7</v>
      </c>
      <c r="C30" s="683" t="s">
        <v>3105</v>
      </c>
      <c r="D30" s="667">
        <f>Sheet2!F304</f>
        <v>1471.67</v>
      </c>
      <c r="E30" s="678" t="s">
        <v>788</v>
      </c>
      <c r="F30" s="565">
        <f t="shared" si="0"/>
        <v>3973.5090000000005</v>
      </c>
    </row>
    <row r="31" spans="1:6" s="679" customFormat="1" ht="38.25" customHeight="1">
      <c r="A31" s="668">
        <v>27</v>
      </c>
      <c r="B31" s="665">
        <f>Details!H122</f>
        <v>9.9</v>
      </c>
      <c r="C31" s="683" t="s">
        <v>3104</v>
      </c>
      <c r="D31" s="667">
        <f>Sheet2!F315</f>
        <v>1681.17</v>
      </c>
      <c r="E31" s="678" t="s">
        <v>788</v>
      </c>
      <c r="F31" s="565">
        <f t="shared" si="0"/>
        <v>16643.583000000002</v>
      </c>
    </row>
    <row r="32" spans="1:6" s="679" customFormat="1" ht="36.75" customHeight="1">
      <c r="A32" s="668">
        <v>28</v>
      </c>
      <c r="B32" s="665">
        <f>Details!H131</f>
        <v>43.2</v>
      </c>
      <c r="C32" s="683" t="s">
        <v>2955</v>
      </c>
      <c r="D32" s="667">
        <f>Sheet2!F331</f>
        <v>1793.83</v>
      </c>
      <c r="E32" s="678" t="s">
        <v>788</v>
      </c>
      <c r="F32" s="565">
        <f t="shared" si="0"/>
        <v>77493.456000000006</v>
      </c>
    </row>
    <row r="33" spans="1:9" s="679" customFormat="1" ht="88.5" customHeight="1">
      <c r="A33" s="668">
        <v>29</v>
      </c>
      <c r="B33" s="665">
        <f>Details!H133</f>
        <v>3</v>
      </c>
      <c r="C33" s="683" t="s">
        <v>3162</v>
      </c>
      <c r="D33" s="667">
        <v>9468</v>
      </c>
      <c r="E33" s="678" t="s">
        <v>793</v>
      </c>
      <c r="F33" s="565">
        <f t="shared" si="0"/>
        <v>28404</v>
      </c>
    </row>
    <row r="34" spans="1:9" s="679" customFormat="1" ht="78.75" customHeight="1">
      <c r="A34" s="668">
        <v>30</v>
      </c>
      <c r="B34" s="665">
        <f>Details!H136</f>
        <v>7</v>
      </c>
      <c r="C34" s="683" t="s">
        <v>3111</v>
      </c>
      <c r="D34" s="667">
        <f>Sheet2!F338</f>
        <v>509.53</v>
      </c>
      <c r="E34" s="678" t="s">
        <v>793</v>
      </c>
      <c r="F34" s="565">
        <f t="shared" si="0"/>
        <v>3566.71</v>
      </c>
    </row>
    <row r="35" spans="1:9" s="679" customFormat="1" ht="58.5" customHeight="1">
      <c r="A35" s="668">
        <v>31</v>
      </c>
      <c r="B35" s="665">
        <f>Details!H140</f>
        <v>11</v>
      </c>
      <c r="C35" s="683" t="s">
        <v>3163</v>
      </c>
      <c r="D35" s="667">
        <v>270</v>
      </c>
      <c r="E35" s="678" t="s">
        <v>793</v>
      </c>
      <c r="F35" s="565">
        <f t="shared" si="0"/>
        <v>2970</v>
      </c>
    </row>
    <row r="36" spans="1:9" s="679" customFormat="1" ht="78.75" customHeight="1">
      <c r="A36" s="668">
        <v>32</v>
      </c>
      <c r="B36" s="665"/>
      <c r="C36" s="683" t="s">
        <v>3113</v>
      </c>
      <c r="D36" s="667"/>
      <c r="E36" s="678"/>
      <c r="F36" s="565"/>
    </row>
    <row r="37" spans="1:9" s="679" customFormat="1" ht="25.5" customHeight="1">
      <c r="A37" s="668">
        <v>33</v>
      </c>
      <c r="B37" s="665">
        <f>Details!H146</f>
        <v>5</v>
      </c>
      <c r="C37" s="683" t="s">
        <v>3114</v>
      </c>
      <c r="D37" s="667">
        <f>Sheet2!F368</f>
        <v>893.25</v>
      </c>
      <c r="E37" s="678" t="s">
        <v>793</v>
      </c>
      <c r="F37" s="565">
        <f t="shared" si="0"/>
        <v>4466.25</v>
      </c>
    </row>
    <row r="38" spans="1:9" s="679" customFormat="1" ht="25.5" customHeight="1">
      <c r="A38" s="668">
        <v>34</v>
      </c>
      <c r="B38" s="665">
        <f>Details!H151</f>
        <v>11</v>
      </c>
      <c r="C38" s="683" t="s">
        <v>3115</v>
      </c>
      <c r="D38" s="667">
        <f>Sheet2!F385</f>
        <v>896.35</v>
      </c>
      <c r="E38" s="678" t="s">
        <v>793</v>
      </c>
      <c r="F38" s="565">
        <f t="shared" si="0"/>
        <v>9859.85</v>
      </c>
    </row>
    <row r="39" spans="1:9" s="679" customFormat="1" ht="78.75" customHeight="1">
      <c r="A39" s="668">
        <v>35</v>
      </c>
      <c r="B39" s="665">
        <f>Details!H155</f>
        <v>9</v>
      </c>
      <c r="C39" s="683" t="s">
        <v>3116</v>
      </c>
      <c r="D39" s="667">
        <f>Sheet2!F395</f>
        <v>980.29</v>
      </c>
      <c r="E39" s="678" t="s">
        <v>793</v>
      </c>
      <c r="F39" s="565">
        <f t="shared" si="0"/>
        <v>8822.61</v>
      </c>
    </row>
    <row r="40" spans="1:9" s="679" customFormat="1" ht="42" customHeight="1">
      <c r="A40" s="668">
        <v>36</v>
      </c>
      <c r="B40" s="665">
        <f>Details!H159</f>
        <v>9</v>
      </c>
      <c r="C40" s="683" t="s">
        <v>3119</v>
      </c>
      <c r="D40" s="667">
        <f>Sheet2!F397</f>
        <v>1552.7</v>
      </c>
      <c r="E40" s="678" t="s">
        <v>793</v>
      </c>
      <c r="F40" s="565">
        <f t="shared" si="0"/>
        <v>13974.300000000001</v>
      </c>
    </row>
    <row r="41" spans="1:9" s="679" customFormat="1" ht="39.75" customHeight="1">
      <c r="A41" s="668">
        <v>37</v>
      </c>
      <c r="B41" s="665">
        <f>Details!H233</f>
        <v>839</v>
      </c>
      <c r="C41" s="683" t="s">
        <v>2954</v>
      </c>
      <c r="D41" s="667">
        <f>Sheet2!F409</f>
        <v>168.71300000000002</v>
      </c>
      <c r="E41" s="678" t="s">
        <v>788</v>
      </c>
      <c r="F41" s="565">
        <f t="shared" si="0"/>
        <v>141550.20700000002</v>
      </c>
    </row>
    <row r="42" spans="1:9" s="679" customFormat="1" ht="39.75" customHeight="1">
      <c r="A42" s="668">
        <v>38</v>
      </c>
      <c r="B42" s="665">
        <f>Details!H257</f>
        <v>706</v>
      </c>
      <c r="C42" s="683" t="s">
        <v>2943</v>
      </c>
      <c r="D42" s="667">
        <f>Sheet2!F420</f>
        <v>294.54200000000003</v>
      </c>
      <c r="E42" s="678" t="s">
        <v>788</v>
      </c>
      <c r="F42" s="565">
        <f t="shared" si="0"/>
        <v>207946.65200000003</v>
      </c>
    </row>
    <row r="43" spans="1:9" s="679" customFormat="1" ht="26.25" customHeight="1">
      <c r="A43" s="668">
        <v>39</v>
      </c>
      <c r="B43" s="665">
        <f>Details!H287</f>
        <v>317.5</v>
      </c>
      <c r="C43" s="683" t="s">
        <v>2956</v>
      </c>
      <c r="D43" s="667">
        <f>Sheet2!F430</f>
        <v>171.74</v>
      </c>
      <c r="E43" s="678" t="s">
        <v>788</v>
      </c>
      <c r="F43" s="565">
        <f t="shared" si="0"/>
        <v>54527.450000000004</v>
      </c>
    </row>
    <row r="44" spans="1:9" ht="27.75" customHeight="1">
      <c r="A44" s="668">
        <v>40</v>
      </c>
      <c r="B44" s="665">
        <f>Details!H292</f>
        <v>16.600000000000001</v>
      </c>
      <c r="C44" s="683" t="str">
        <f>Details!B288</f>
        <v xml:space="preserve">Painting two coats for new iron works </v>
      </c>
      <c r="D44" s="667">
        <f>Sheet2!F439</f>
        <v>167.1</v>
      </c>
      <c r="E44" s="665" t="s">
        <v>788</v>
      </c>
      <c r="F44" s="565">
        <f t="shared" si="0"/>
        <v>2773.86</v>
      </c>
    </row>
    <row r="45" spans="1:9" ht="27.75" customHeight="1">
      <c r="A45" s="668">
        <v>41</v>
      </c>
      <c r="B45" s="665">
        <f>Details!H297</f>
        <v>53.6</v>
      </c>
      <c r="C45" s="683" t="s">
        <v>3211</v>
      </c>
      <c r="D45" s="667">
        <f>Sheet2!F449</f>
        <v>193.8</v>
      </c>
      <c r="E45" s="665" t="s">
        <v>788</v>
      </c>
      <c r="F45" s="565">
        <f t="shared" si="0"/>
        <v>10387.68</v>
      </c>
    </row>
    <row r="46" spans="1:9" ht="34.5" customHeight="1">
      <c r="A46" s="668">
        <v>42</v>
      </c>
      <c r="B46" s="665">
        <f>Details!H302</f>
        <v>38.5</v>
      </c>
      <c r="C46" s="683" t="s">
        <v>3220</v>
      </c>
      <c r="D46" s="667">
        <f>Sheet2!F457</f>
        <v>379.91</v>
      </c>
      <c r="E46" s="665" t="s">
        <v>788</v>
      </c>
      <c r="F46" s="565">
        <f t="shared" si="0"/>
        <v>14626.535000000002</v>
      </c>
    </row>
    <row r="47" spans="1:9" ht="58.5" customHeight="1">
      <c r="A47" s="668">
        <v>42</v>
      </c>
      <c r="B47" s="665">
        <f>Details!H307</f>
        <v>38.5</v>
      </c>
      <c r="C47" s="683" t="s">
        <v>3224</v>
      </c>
      <c r="D47" s="667">
        <f>I47</f>
        <v>48.790000000000006</v>
      </c>
      <c r="E47" s="665" t="s">
        <v>788</v>
      </c>
      <c r="F47" s="565">
        <f t="shared" si="0"/>
        <v>1878.4150000000002</v>
      </c>
      <c r="G47" s="562">
        <v>34.85</v>
      </c>
      <c r="H47" s="562">
        <f>G47*40%</f>
        <v>13.940000000000001</v>
      </c>
      <c r="I47" s="562">
        <f>G47+H47</f>
        <v>48.790000000000006</v>
      </c>
    </row>
    <row r="48" spans="1:9" ht="24.75" customHeight="1">
      <c r="A48" s="669"/>
      <c r="B48" s="644"/>
      <c r="C48" s="749" t="s">
        <v>3214</v>
      </c>
      <c r="D48" s="749"/>
      <c r="E48" s="644"/>
      <c r="F48" s="567">
        <f>SUM(F4:F47)</f>
        <v>1251425.06522</v>
      </c>
    </row>
    <row r="49" spans="1:6" ht="24.75" customHeight="1">
      <c r="A49" s="669">
        <v>42</v>
      </c>
      <c r="B49" s="566" t="s">
        <v>363</v>
      </c>
      <c r="C49" s="568" t="s">
        <v>3210</v>
      </c>
      <c r="D49" s="748" t="s">
        <v>363</v>
      </c>
      <c r="E49" s="748"/>
      <c r="F49" s="569">
        <f>F48*18%</f>
        <v>225256.51173959998</v>
      </c>
    </row>
    <row r="50" spans="1:6" ht="24.75" customHeight="1">
      <c r="A50" s="669"/>
      <c r="B50" s="570"/>
      <c r="C50" s="749" t="s">
        <v>3215</v>
      </c>
      <c r="D50" s="749"/>
      <c r="E50" s="571"/>
      <c r="F50" s="567">
        <f>SUM(F48:F49)</f>
        <v>1476681.5769596</v>
      </c>
    </row>
    <row r="51" spans="1:6" ht="24.75" customHeight="1">
      <c r="A51" s="669">
        <v>43</v>
      </c>
      <c r="B51" s="566" t="s">
        <v>363</v>
      </c>
      <c r="C51" s="568" t="s">
        <v>2929</v>
      </c>
      <c r="D51" s="748" t="s">
        <v>363</v>
      </c>
      <c r="E51" s="748"/>
      <c r="F51" s="569">
        <f>F48*1%</f>
        <v>12514.2506522</v>
      </c>
    </row>
    <row r="52" spans="1:6" ht="28.5" customHeight="1">
      <c r="A52" s="669">
        <v>44</v>
      </c>
      <c r="B52" s="566" t="s">
        <v>363</v>
      </c>
      <c r="C52" s="572" t="s">
        <v>2930</v>
      </c>
      <c r="D52" s="748" t="s">
        <v>363</v>
      </c>
      <c r="E52" s="748"/>
      <c r="F52" s="569">
        <f>F50*7.5%</f>
        <v>110751.11827197</v>
      </c>
    </row>
    <row r="53" spans="1:6" ht="17.25" customHeight="1">
      <c r="A53" s="669"/>
      <c r="B53" s="742" t="s">
        <v>3216</v>
      </c>
      <c r="C53" s="742"/>
      <c r="D53" s="742"/>
      <c r="E53" s="742"/>
      <c r="F53" s="567">
        <f>SUM(F50:F52)</f>
        <v>1599946.94588377</v>
      </c>
    </row>
    <row r="54" spans="1:6" ht="22.5" customHeight="1">
      <c r="A54" s="669"/>
      <c r="B54" s="743" t="s">
        <v>2931</v>
      </c>
      <c r="C54" s="744"/>
      <c r="D54" s="744"/>
      <c r="E54" s="745"/>
      <c r="F54" s="573">
        <v>1600000</v>
      </c>
    </row>
    <row r="55" spans="1:6">
      <c r="A55" s="670"/>
      <c r="B55" s="574"/>
      <c r="C55" s="575"/>
      <c r="D55" s="640"/>
      <c r="E55" s="576"/>
      <c r="F55" s="577"/>
    </row>
    <row r="56" spans="1:6">
      <c r="A56" s="670"/>
      <c r="B56" s="574"/>
      <c r="C56" s="575"/>
      <c r="D56" s="640"/>
      <c r="E56" s="576"/>
      <c r="F56" s="577"/>
    </row>
    <row r="57" spans="1:6">
      <c r="A57" s="670"/>
      <c r="B57" s="574"/>
      <c r="C57" s="575"/>
      <c r="D57" s="640"/>
      <c r="E57" s="576"/>
      <c r="F57" s="577">
        <f>F53-F54</f>
        <v>-53.05411622999236</v>
      </c>
    </row>
    <row r="58" spans="1:6">
      <c r="A58" s="670"/>
      <c r="B58" s="574"/>
      <c r="C58" s="575"/>
      <c r="D58" s="640"/>
      <c r="E58" s="576"/>
      <c r="F58" s="577"/>
    </row>
    <row r="59" spans="1:6">
      <c r="A59" s="670"/>
    </row>
    <row r="60" spans="1:6">
      <c r="A60" s="670"/>
    </row>
  </sheetData>
  <mergeCells count="9">
    <mergeCell ref="B53:E53"/>
    <mergeCell ref="B54:E54"/>
    <mergeCell ref="A1:F1"/>
    <mergeCell ref="A2:F2"/>
    <mergeCell ref="D49:E49"/>
    <mergeCell ref="D51:E51"/>
    <mergeCell ref="D52:E52"/>
    <mergeCell ref="C48:D48"/>
    <mergeCell ref="C50:D50"/>
  </mergeCells>
  <pageMargins left="0.73" right="0.31496062992126" top="0.86" bottom="0.69" header="0.31496062992126" footer="0.31496062992126"/>
  <pageSetup paperSize="9" scale="90" orientation="portrait" r:id="rId1"/>
  <colBreaks count="1" manualBreakCount="1">
    <brk id="6" max="1048575" man="1"/>
  </colBreaks>
  <drawing r:id="rId2"/>
</worksheet>
</file>

<file path=xl/worksheets/sheet5.xml><?xml version="1.0" encoding="utf-8"?>
<worksheet xmlns="http://schemas.openxmlformats.org/spreadsheetml/2006/main" xmlns:r="http://schemas.openxmlformats.org/officeDocument/2006/relationships">
  <dimension ref="A1:J457"/>
  <sheetViews>
    <sheetView view="pageBreakPreview" topLeftCell="A430" zoomScale="60" workbookViewId="0">
      <selection activeCell="A457" sqref="A457:XFD457"/>
    </sheetView>
  </sheetViews>
  <sheetFormatPr defaultRowHeight="15.75"/>
  <cols>
    <col min="1" max="1" width="9.28515625" style="705" bestFit="1" customWidth="1"/>
    <col min="2" max="2" width="9.140625" style="689"/>
    <col min="3" max="3" width="40.140625" style="689" customWidth="1"/>
    <col min="4" max="4" width="10.85546875" style="705" customWidth="1"/>
    <col min="5" max="5" width="9.140625" style="689"/>
    <col min="6" max="6" width="15.140625" style="705" customWidth="1"/>
    <col min="7" max="16384" width="9.140625" style="689"/>
  </cols>
  <sheetData>
    <row r="1" spans="1:6">
      <c r="A1" s="751" t="s">
        <v>39</v>
      </c>
      <c r="B1" s="751"/>
      <c r="C1" s="751"/>
      <c r="D1" s="751"/>
      <c r="E1" s="751"/>
      <c r="F1" s="751"/>
    </row>
    <row r="2" spans="1:6">
      <c r="A2" s="752" t="s">
        <v>3039</v>
      </c>
      <c r="B2" s="752"/>
      <c r="C2" s="752"/>
      <c r="D2" s="752"/>
      <c r="E2" s="752"/>
      <c r="F2" s="752"/>
    </row>
    <row r="3" spans="1:6">
      <c r="A3" s="685" t="s">
        <v>44</v>
      </c>
      <c r="B3" s="684" t="s">
        <v>27</v>
      </c>
      <c r="C3" s="684" t="s">
        <v>3040</v>
      </c>
      <c r="D3" s="685"/>
      <c r="E3" s="684" t="s">
        <v>3041</v>
      </c>
      <c r="F3" s="685"/>
    </row>
    <row r="4" spans="1:6">
      <c r="A4" s="685"/>
      <c r="B4" s="684"/>
      <c r="C4" s="684"/>
      <c r="D4" s="685"/>
      <c r="E4" s="684"/>
      <c r="F4" s="685"/>
    </row>
    <row r="5" spans="1:6">
      <c r="A5" s="685" t="s">
        <v>51</v>
      </c>
      <c r="B5" s="684" t="s">
        <v>27</v>
      </c>
      <c r="C5" s="684" t="s">
        <v>52</v>
      </c>
      <c r="D5" s="685" t="s">
        <v>53</v>
      </c>
      <c r="E5" s="684" t="s">
        <v>54</v>
      </c>
      <c r="F5" s="685" t="s">
        <v>55</v>
      </c>
    </row>
    <row r="6" spans="1:6">
      <c r="A6" s="686"/>
      <c r="B6" s="642"/>
      <c r="C6" s="642"/>
      <c r="D6" s="686"/>
      <c r="E6" s="642"/>
      <c r="F6" s="686"/>
    </row>
    <row r="7" spans="1:6">
      <c r="A7" s="686"/>
      <c r="B7" s="642" t="s">
        <v>67</v>
      </c>
      <c r="C7" s="642" t="s">
        <v>125</v>
      </c>
      <c r="D7" s="686"/>
      <c r="E7" s="642"/>
      <c r="F7" s="686"/>
    </row>
    <row r="8" spans="1:6">
      <c r="A8" s="686">
        <v>0.72</v>
      </c>
      <c r="B8" s="642" t="s">
        <v>84</v>
      </c>
      <c r="C8" s="642" t="s">
        <v>85</v>
      </c>
      <c r="D8" s="686">
        <v>6040</v>
      </c>
      <c r="E8" s="642" t="s">
        <v>84</v>
      </c>
      <c r="F8" s="686">
        <v>4348.8</v>
      </c>
    </row>
    <row r="9" spans="1:6">
      <c r="A9" s="686">
        <v>1</v>
      </c>
      <c r="B9" s="642" t="s">
        <v>93</v>
      </c>
      <c r="C9" s="642" t="s">
        <v>94</v>
      </c>
      <c r="D9" s="686">
        <v>2979.24</v>
      </c>
      <c r="E9" s="642" t="s">
        <v>93</v>
      </c>
      <c r="F9" s="686">
        <v>2979.24</v>
      </c>
    </row>
    <row r="10" spans="1:6">
      <c r="A10" s="686">
        <v>1</v>
      </c>
      <c r="B10" s="642" t="s">
        <v>93</v>
      </c>
      <c r="C10" s="642" t="s">
        <v>99</v>
      </c>
      <c r="D10" s="686">
        <v>154</v>
      </c>
      <c r="E10" s="642" t="s">
        <v>93</v>
      </c>
      <c r="F10" s="686">
        <v>154</v>
      </c>
    </row>
    <row r="11" spans="1:6">
      <c r="A11" s="686"/>
      <c r="B11" s="642" t="s">
        <v>106</v>
      </c>
      <c r="C11" s="642" t="s">
        <v>107</v>
      </c>
      <c r="D11" s="686" t="s">
        <v>27</v>
      </c>
      <c r="E11" s="642" t="s">
        <v>106</v>
      </c>
      <c r="F11" s="686">
        <v>0</v>
      </c>
    </row>
    <row r="12" spans="1:6">
      <c r="A12" s="686"/>
      <c r="B12" s="642"/>
      <c r="C12" s="642" t="s">
        <v>116</v>
      </c>
      <c r="D12" s="686"/>
      <c r="E12" s="642"/>
      <c r="F12" s="686">
        <v>7482.04</v>
      </c>
    </row>
    <row r="13" spans="1:6">
      <c r="A13" s="686"/>
      <c r="B13" s="642"/>
      <c r="C13" s="642"/>
      <c r="D13" s="686"/>
      <c r="E13" s="642"/>
      <c r="F13" s="686"/>
    </row>
    <row r="14" spans="1:6">
      <c r="A14" s="686"/>
      <c r="B14" s="642" t="s">
        <v>67</v>
      </c>
      <c r="C14" s="642" t="s">
        <v>176</v>
      </c>
      <c r="D14" s="686"/>
      <c r="E14" s="642"/>
      <c r="F14" s="686"/>
    </row>
    <row r="15" spans="1:6">
      <c r="A15" s="686">
        <v>0.48</v>
      </c>
      <c r="B15" s="642" t="s">
        <v>84</v>
      </c>
      <c r="C15" s="642" t="s">
        <v>85</v>
      </c>
      <c r="D15" s="686">
        <v>6040</v>
      </c>
      <c r="E15" s="642" t="s">
        <v>84</v>
      </c>
      <c r="F15" s="686">
        <v>2899.2</v>
      </c>
    </row>
    <row r="16" spans="1:6">
      <c r="A16" s="686">
        <v>1</v>
      </c>
      <c r="B16" s="642" t="s">
        <v>93</v>
      </c>
      <c r="C16" s="642" t="s">
        <v>94</v>
      </c>
      <c r="D16" s="686">
        <v>2979.24</v>
      </c>
      <c r="E16" s="642" t="s">
        <v>93</v>
      </c>
      <c r="F16" s="686">
        <v>2979.24</v>
      </c>
    </row>
    <row r="17" spans="1:6">
      <c r="A17" s="686">
        <v>1</v>
      </c>
      <c r="B17" s="642" t="s">
        <v>93</v>
      </c>
      <c r="C17" s="642" t="s">
        <v>99</v>
      </c>
      <c r="D17" s="686">
        <v>154</v>
      </c>
      <c r="E17" s="642" t="s">
        <v>93</v>
      </c>
      <c r="F17" s="686">
        <v>154</v>
      </c>
    </row>
    <row r="18" spans="1:6">
      <c r="A18" s="686"/>
      <c r="B18" s="642" t="s">
        <v>106</v>
      </c>
      <c r="C18" s="642" t="s">
        <v>107</v>
      </c>
      <c r="D18" s="686" t="s">
        <v>27</v>
      </c>
      <c r="E18" s="642" t="s">
        <v>106</v>
      </c>
      <c r="F18" s="686">
        <v>0</v>
      </c>
    </row>
    <row r="19" spans="1:6">
      <c r="A19" s="686"/>
      <c r="B19" s="642"/>
      <c r="C19" s="642" t="s">
        <v>116</v>
      </c>
      <c r="D19" s="686"/>
      <c r="E19" s="642"/>
      <c r="F19" s="686">
        <v>6032.44</v>
      </c>
    </row>
    <row r="20" spans="1:6">
      <c r="A20" s="686"/>
      <c r="B20" s="642"/>
      <c r="C20" s="642"/>
      <c r="D20" s="686"/>
      <c r="E20" s="642"/>
      <c r="F20" s="686"/>
    </row>
    <row r="21" spans="1:6">
      <c r="A21" s="686"/>
      <c r="B21" s="642" t="s">
        <v>67</v>
      </c>
      <c r="C21" s="642" t="s">
        <v>218</v>
      </c>
      <c r="D21" s="686"/>
      <c r="E21" s="642"/>
      <c r="F21" s="686"/>
    </row>
    <row r="22" spans="1:6">
      <c r="A22" s="686">
        <v>0.36</v>
      </c>
      <c r="B22" s="642" t="s">
        <v>84</v>
      </c>
      <c r="C22" s="642" t="s">
        <v>85</v>
      </c>
      <c r="D22" s="686">
        <v>6040</v>
      </c>
      <c r="E22" s="642" t="s">
        <v>84</v>
      </c>
      <c r="F22" s="686">
        <v>2174.4</v>
      </c>
    </row>
    <row r="23" spans="1:6">
      <c r="A23" s="686">
        <v>1</v>
      </c>
      <c r="B23" s="642" t="s">
        <v>93</v>
      </c>
      <c r="C23" s="642" t="s">
        <v>94</v>
      </c>
      <c r="D23" s="686">
        <v>2979.24</v>
      </c>
      <c r="E23" s="642" t="s">
        <v>93</v>
      </c>
      <c r="F23" s="686">
        <v>2979.24</v>
      </c>
    </row>
    <row r="24" spans="1:6">
      <c r="A24" s="686">
        <v>1</v>
      </c>
      <c r="B24" s="642" t="s">
        <v>93</v>
      </c>
      <c r="C24" s="642" t="s">
        <v>99</v>
      </c>
      <c r="D24" s="686">
        <v>154</v>
      </c>
      <c r="E24" s="642" t="s">
        <v>93</v>
      </c>
      <c r="F24" s="686">
        <v>154</v>
      </c>
    </row>
    <row r="25" spans="1:6">
      <c r="A25" s="686"/>
      <c r="B25" s="642" t="s">
        <v>106</v>
      </c>
      <c r="C25" s="642" t="s">
        <v>107</v>
      </c>
      <c r="D25" s="686" t="s">
        <v>27</v>
      </c>
      <c r="E25" s="642" t="s">
        <v>106</v>
      </c>
      <c r="F25" s="686">
        <v>0</v>
      </c>
    </row>
    <row r="26" spans="1:6">
      <c r="A26" s="686"/>
      <c r="B26" s="642"/>
      <c r="C26" s="642" t="s">
        <v>116</v>
      </c>
      <c r="D26" s="686"/>
      <c r="E26" s="642"/>
      <c r="F26" s="686">
        <v>5307.64</v>
      </c>
    </row>
    <row r="27" spans="1:6">
      <c r="A27" s="686"/>
      <c r="B27" s="642"/>
      <c r="C27" s="642"/>
      <c r="D27" s="686"/>
      <c r="E27" s="642"/>
      <c r="F27" s="686"/>
    </row>
    <row r="28" spans="1:6">
      <c r="A28" s="686"/>
      <c r="B28" s="642" t="s">
        <v>67</v>
      </c>
      <c r="C28" s="642" t="s">
        <v>245</v>
      </c>
      <c r="D28" s="686"/>
      <c r="E28" s="642"/>
      <c r="F28" s="686"/>
    </row>
    <row r="29" spans="1:6">
      <c r="A29" s="686">
        <v>0.28799999999999998</v>
      </c>
      <c r="B29" s="642" t="s">
        <v>84</v>
      </c>
      <c r="C29" s="642" t="s">
        <v>85</v>
      </c>
      <c r="D29" s="686">
        <v>6040</v>
      </c>
      <c r="E29" s="642" t="s">
        <v>84</v>
      </c>
      <c r="F29" s="686">
        <v>1739.52</v>
      </c>
    </row>
    <row r="30" spans="1:6">
      <c r="A30" s="686">
        <v>1</v>
      </c>
      <c r="B30" s="642" t="s">
        <v>93</v>
      </c>
      <c r="C30" s="642" t="s">
        <v>94</v>
      </c>
      <c r="D30" s="686">
        <v>2979.24</v>
      </c>
      <c r="E30" s="642" t="s">
        <v>93</v>
      </c>
      <c r="F30" s="686">
        <v>2979.24</v>
      </c>
    </row>
    <row r="31" spans="1:6">
      <c r="A31" s="686">
        <v>1</v>
      </c>
      <c r="B31" s="642" t="s">
        <v>93</v>
      </c>
      <c r="C31" s="642" t="s">
        <v>99</v>
      </c>
      <c r="D31" s="686">
        <v>154</v>
      </c>
      <c r="E31" s="642" t="s">
        <v>93</v>
      </c>
      <c r="F31" s="686">
        <v>154</v>
      </c>
    </row>
    <row r="32" spans="1:6">
      <c r="A32" s="686"/>
      <c r="B32" s="642" t="s">
        <v>106</v>
      </c>
      <c r="C32" s="642" t="s">
        <v>107</v>
      </c>
      <c r="D32" s="686" t="s">
        <v>27</v>
      </c>
      <c r="E32" s="642" t="s">
        <v>106</v>
      </c>
      <c r="F32" s="686">
        <v>0</v>
      </c>
    </row>
    <row r="33" spans="1:10">
      <c r="A33" s="686"/>
      <c r="B33" s="642"/>
      <c r="C33" s="642" t="s">
        <v>116</v>
      </c>
      <c r="D33" s="686"/>
      <c r="E33" s="642"/>
      <c r="F33" s="686">
        <v>4872.76</v>
      </c>
    </row>
    <row r="34" spans="1:10">
      <c r="A34" s="686"/>
      <c r="B34" s="642"/>
      <c r="C34" s="642"/>
      <c r="D34" s="686"/>
      <c r="E34" s="642"/>
      <c r="F34" s="686"/>
    </row>
    <row r="35" spans="1:10">
      <c r="A35" s="686"/>
      <c r="B35" s="642" t="s">
        <v>67</v>
      </c>
      <c r="C35" s="642" t="s">
        <v>266</v>
      </c>
      <c r="D35" s="686"/>
      <c r="E35" s="642"/>
      <c r="F35" s="686"/>
    </row>
    <row r="36" spans="1:10">
      <c r="A36" s="686">
        <v>0.24</v>
      </c>
      <c r="B36" s="642" t="s">
        <v>84</v>
      </c>
      <c r="C36" s="642" t="s">
        <v>85</v>
      </c>
      <c r="D36" s="686">
        <v>6040</v>
      </c>
      <c r="E36" s="642" t="s">
        <v>84</v>
      </c>
      <c r="F36" s="686">
        <v>1449.6</v>
      </c>
    </row>
    <row r="37" spans="1:10">
      <c r="A37" s="686">
        <v>1</v>
      </c>
      <c r="B37" s="642" t="s">
        <v>93</v>
      </c>
      <c r="C37" s="642" t="s">
        <v>94</v>
      </c>
      <c r="D37" s="686">
        <v>2979.24</v>
      </c>
      <c r="E37" s="642" t="s">
        <v>93</v>
      </c>
      <c r="F37" s="686">
        <v>2979.24</v>
      </c>
    </row>
    <row r="38" spans="1:10">
      <c r="A38" s="686">
        <v>1</v>
      </c>
      <c r="B38" s="642" t="s">
        <v>93</v>
      </c>
      <c r="C38" s="642" t="s">
        <v>99</v>
      </c>
      <c r="D38" s="686">
        <v>154</v>
      </c>
      <c r="E38" s="642" t="s">
        <v>93</v>
      </c>
      <c r="F38" s="686">
        <v>154</v>
      </c>
    </row>
    <row r="39" spans="1:10">
      <c r="A39" s="686"/>
      <c r="B39" s="642" t="s">
        <v>106</v>
      </c>
      <c r="C39" s="642" t="s">
        <v>107</v>
      </c>
      <c r="D39" s="686" t="s">
        <v>27</v>
      </c>
      <c r="E39" s="642" t="s">
        <v>106</v>
      </c>
      <c r="F39" s="686">
        <v>0</v>
      </c>
    </row>
    <row r="40" spans="1:10">
      <c r="A40" s="686"/>
      <c r="B40" s="642"/>
      <c r="C40" s="642" t="s">
        <v>116</v>
      </c>
      <c r="D40" s="686"/>
      <c r="E40" s="642"/>
      <c r="F40" s="686">
        <v>4582.84</v>
      </c>
    </row>
    <row r="42" spans="1:10" ht="94.5">
      <c r="A42" s="690" t="s">
        <v>420</v>
      </c>
      <c r="B42" s="691"/>
      <c r="C42" s="692" t="s">
        <v>3056</v>
      </c>
      <c r="D42" s="690"/>
      <c r="E42" s="691"/>
      <c r="F42" s="690"/>
      <c r="G42" s="642"/>
      <c r="H42" s="642"/>
      <c r="I42" s="642"/>
      <c r="J42" s="642"/>
    </row>
    <row r="43" spans="1:10">
      <c r="A43" s="690">
        <v>10</v>
      </c>
      <c r="B43" s="691" t="s">
        <v>788</v>
      </c>
      <c r="C43" s="691" t="s">
        <v>3057</v>
      </c>
      <c r="D43" s="690">
        <f>J43</f>
        <v>24.009999999999998</v>
      </c>
      <c r="E43" s="691" t="s">
        <v>788</v>
      </c>
      <c r="F43" s="690">
        <f>D43*A43</f>
        <v>240.09999999999997</v>
      </c>
      <c r="G43" s="642"/>
      <c r="H43" s="642">
        <v>17.149999999999999</v>
      </c>
      <c r="I43" s="645">
        <f>H43*40%</f>
        <v>6.8599999999999994</v>
      </c>
      <c r="J43" s="645">
        <f>H43+I43</f>
        <v>24.009999999999998</v>
      </c>
    </row>
    <row r="44" spans="1:10">
      <c r="A44" s="690">
        <v>36</v>
      </c>
      <c r="B44" s="691" t="s">
        <v>1125</v>
      </c>
      <c r="C44" s="693" t="s">
        <v>3058</v>
      </c>
      <c r="D44" s="690">
        <v>34.6</v>
      </c>
      <c r="E44" s="691" t="s">
        <v>1125</v>
      </c>
      <c r="F44" s="690">
        <f t="shared" ref="F44:F50" si="0">D44*A44</f>
        <v>1245.6000000000001</v>
      </c>
      <c r="G44" s="642"/>
      <c r="H44" s="642"/>
      <c r="I44" s="642"/>
      <c r="J44" s="642"/>
    </row>
    <row r="45" spans="1:10">
      <c r="A45" s="690">
        <v>0.49</v>
      </c>
      <c r="B45" s="691" t="s">
        <v>392</v>
      </c>
      <c r="C45" s="691" t="s">
        <v>3059</v>
      </c>
      <c r="D45" s="690">
        <v>64</v>
      </c>
      <c r="E45" s="691" t="s">
        <v>392</v>
      </c>
      <c r="F45" s="690">
        <f t="shared" si="0"/>
        <v>31.36</v>
      </c>
      <c r="G45" s="642"/>
      <c r="H45" s="642"/>
      <c r="I45" s="642"/>
      <c r="J45" s="642"/>
    </row>
    <row r="46" spans="1:10">
      <c r="A46" s="690">
        <v>0.09</v>
      </c>
      <c r="B46" s="691" t="s">
        <v>249</v>
      </c>
      <c r="C46" s="691" t="s">
        <v>3060</v>
      </c>
      <c r="D46" s="690">
        <f>F12</f>
        <v>7482.04</v>
      </c>
      <c r="E46" s="691" t="s">
        <v>249</v>
      </c>
      <c r="F46" s="690">
        <f t="shared" si="0"/>
        <v>673.3836</v>
      </c>
      <c r="G46" s="642"/>
      <c r="H46" s="642"/>
      <c r="I46" s="642"/>
      <c r="J46" s="642"/>
    </row>
    <row r="47" spans="1:10">
      <c r="A47" s="690">
        <v>0.5</v>
      </c>
      <c r="B47" s="691" t="s">
        <v>969</v>
      </c>
      <c r="C47" s="691" t="s">
        <v>269</v>
      </c>
      <c r="D47" s="687">
        <v>1237.5999999999999</v>
      </c>
      <c r="E47" s="691" t="s">
        <v>969</v>
      </c>
      <c r="F47" s="690">
        <f t="shared" si="0"/>
        <v>618.79999999999995</v>
      </c>
      <c r="G47" s="642"/>
      <c r="H47" s="642"/>
      <c r="I47" s="642"/>
      <c r="J47" s="642"/>
    </row>
    <row r="48" spans="1:10">
      <c r="A48" s="690">
        <v>0.5</v>
      </c>
      <c r="B48" s="691" t="s">
        <v>969</v>
      </c>
      <c r="C48" s="691" t="s">
        <v>3054</v>
      </c>
      <c r="D48" s="690">
        <f>J36</f>
        <v>0</v>
      </c>
      <c r="E48" s="691" t="s">
        <v>969</v>
      </c>
      <c r="F48" s="690">
        <f t="shared" si="0"/>
        <v>0</v>
      </c>
      <c r="G48" s="642"/>
      <c r="H48" s="642"/>
      <c r="I48" s="642"/>
      <c r="J48" s="642"/>
    </row>
    <row r="49" spans="1:10">
      <c r="A49" s="690">
        <v>1.1000000000000001</v>
      </c>
      <c r="B49" s="691" t="s">
        <v>969</v>
      </c>
      <c r="C49" s="691" t="s">
        <v>271</v>
      </c>
      <c r="D49" s="690">
        <f>J37</f>
        <v>0</v>
      </c>
      <c r="E49" s="691" t="s">
        <v>969</v>
      </c>
      <c r="F49" s="690">
        <f t="shared" si="0"/>
        <v>0</v>
      </c>
      <c r="G49" s="642"/>
      <c r="H49" s="642"/>
      <c r="I49" s="642"/>
      <c r="J49" s="642"/>
    </row>
    <row r="50" spans="1:10">
      <c r="A50" s="690">
        <v>2.2000000000000002</v>
      </c>
      <c r="B50" s="691" t="s">
        <v>969</v>
      </c>
      <c r="C50" s="691" t="s">
        <v>276</v>
      </c>
      <c r="D50" s="687">
        <v>709.8</v>
      </c>
      <c r="E50" s="691" t="s">
        <v>969</v>
      </c>
      <c r="F50" s="690">
        <f t="shared" si="0"/>
        <v>1561.56</v>
      </c>
      <c r="G50" s="642"/>
      <c r="H50" s="642"/>
      <c r="I50" s="642"/>
      <c r="J50" s="642"/>
    </row>
    <row r="51" spans="1:10">
      <c r="A51" s="690"/>
      <c r="B51" s="691"/>
      <c r="C51" s="691" t="s">
        <v>401</v>
      </c>
      <c r="D51" s="690"/>
      <c r="E51" s="691"/>
      <c r="F51" s="690">
        <f>SUM(F43:F50)</f>
        <v>4370.8035999999993</v>
      </c>
      <c r="G51" s="642"/>
      <c r="H51" s="642"/>
      <c r="I51" s="642"/>
      <c r="J51" s="642"/>
    </row>
    <row r="52" spans="1:10">
      <c r="A52" s="690"/>
      <c r="B52" s="691"/>
      <c r="C52" s="694" t="s">
        <v>403</v>
      </c>
      <c r="D52" s="695"/>
      <c r="E52" s="694"/>
      <c r="F52" s="695">
        <f>F51/10</f>
        <v>437.08035999999993</v>
      </c>
      <c r="G52" s="642"/>
      <c r="H52" s="642"/>
      <c r="I52" s="642"/>
      <c r="J52" s="642"/>
    </row>
    <row r="53" spans="1:10" ht="63">
      <c r="A53" s="696" t="s">
        <v>386</v>
      </c>
      <c r="B53" s="697"/>
      <c r="C53" s="698" t="s">
        <v>3053</v>
      </c>
      <c r="D53" s="696"/>
      <c r="E53" s="697"/>
      <c r="F53" s="699"/>
      <c r="G53" s="645"/>
      <c r="H53" s="645"/>
      <c r="I53" s="645"/>
      <c r="J53" s="645"/>
    </row>
    <row r="54" spans="1:10" ht="31.5">
      <c r="A54" s="699">
        <v>6</v>
      </c>
      <c r="B54" s="697" t="s">
        <v>788</v>
      </c>
      <c r="C54" s="700" t="s">
        <v>3061</v>
      </c>
      <c r="D54" s="701">
        <v>364.6</v>
      </c>
      <c r="E54" s="697" t="s">
        <v>788</v>
      </c>
      <c r="F54" s="701">
        <f>D54*A54</f>
        <v>2187.6000000000004</v>
      </c>
      <c r="G54" s="645"/>
      <c r="H54" s="645"/>
      <c r="I54" s="645"/>
      <c r="J54" s="645"/>
    </row>
    <row r="55" spans="1:10">
      <c r="A55" s="699">
        <v>1</v>
      </c>
      <c r="B55" s="697" t="s">
        <v>969</v>
      </c>
      <c r="C55" s="697" t="s">
        <v>3054</v>
      </c>
      <c r="D55" s="699">
        <f>J55</f>
        <v>1296.4000000000001</v>
      </c>
      <c r="E55" s="697" t="s">
        <v>969</v>
      </c>
      <c r="F55" s="701">
        <f t="shared" ref="F55:F57" si="1">D55*A55</f>
        <v>1296.4000000000001</v>
      </c>
      <c r="G55" s="645"/>
      <c r="H55" s="645">
        <v>926</v>
      </c>
      <c r="I55" s="645">
        <f>H55*40%</f>
        <v>370.40000000000003</v>
      </c>
      <c r="J55" s="645">
        <f>H55+I55</f>
        <v>1296.4000000000001</v>
      </c>
    </row>
    <row r="56" spans="1:10">
      <c r="A56" s="699">
        <v>1</v>
      </c>
      <c r="B56" s="697" t="s">
        <v>969</v>
      </c>
      <c r="C56" s="697" t="s">
        <v>271</v>
      </c>
      <c r="D56" s="699">
        <f>J56</f>
        <v>865.2</v>
      </c>
      <c r="E56" s="697" t="s">
        <v>969</v>
      </c>
      <c r="F56" s="701">
        <f t="shared" si="1"/>
        <v>865.2</v>
      </c>
      <c r="G56" s="645"/>
      <c r="H56" s="645">
        <v>618</v>
      </c>
      <c r="I56" s="645">
        <f>H56*40%</f>
        <v>247.20000000000002</v>
      </c>
      <c r="J56" s="645">
        <f>H56+I56</f>
        <v>865.2</v>
      </c>
    </row>
    <row r="57" spans="1:10">
      <c r="A57" s="699">
        <v>14</v>
      </c>
      <c r="B57" s="697" t="s">
        <v>969</v>
      </c>
      <c r="C57" s="697" t="s">
        <v>3062</v>
      </c>
      <c r="D57" s="699">
        <v>3.91</v>
      </c>
      <c r="E57" s="697" t="s">
        <v>969</v>
      </c>
      <c r="F57" s="701">
        <f t="shared" si="1"/>
        <v>54.74</v>
      </c>
      <c r="G57" s="645"/>
      <c r="H57" s="645"/>
      <c r="I57" s="645"/>
      <c r="J57" s="645"/>
    </row>
    <row r="58" spans="1:10">
      <c r="A58" s="696"/>
      <c r="B58" s="697"/>
      <c r="C58" s="697" t="s">
        <v>3055</v>
      </c>
      <c r="D58" s="696"/>
      <c r="E58" s="697"/>
      <c r="F58" s="699">
        <f>SUM(F54:F57)</f>
        <v>4403.9400000000005</v>
      </c>
      <c r="G58" s="645"/>
      <c r="H58" s="645"/>
      <c r="I58" s="645"/>
      <c r="J58" s="645"/>
    </row>
    <row r="59" spans="1:10">
      <c r="A59" s="696"/>
      <c r="B59" s="697"/>
      <c r="C59" s="702" t="s">
        <v>403</v>
      </c>
      <c r="D59" s="703"/>
      <c r="E59" s="702"/>
      <c r="F59" s="704">
        <f>F58/6</f>
        <v>733.99000000000012</v>
      </c>
      <c r="G59" s="645"/>
      <c r="H59" s="645"/>
      <c r="I59" s="645"/>
      <c r="J59" s="645"/>
    </row>
    <row r="61" spans="1:10">
      <c r="C61" s="706" t="s">
        <v>2227</v>
      </c>
    </row>
    <row r="62" spans="1:10">
      <c r="A62" s="705" t="s">
        <v>2228</v>
      </c>
      <c r="D62" s="705">
        <v>11.78</v>
      </c>
      <c r="E62" s="689" t="s">
        <v>1840</v>
      </c>
    </row>
    <row r="63" spans="1:10">
      <c r="A63" s="705" t="s">
        <v>2229</v>
      </c>
      <c r="D63" s="705">
        <v>15.07</v>
      </c>
      <c r="E63" s="689" t="s">
        <v>1840</v>
      </c>
    </row>
    <row r="64" spans="1:10">
      <c r="A64" s="705" t="s">
        <v>2230</v>
      </c>
      <c r="D64" s="705">
        <v>2.16</v>
      </c>
      <c r="E64" s="689" t="s">
        <v>1840</v>
      </c>
    </row>
    <row r="65" spans="1:6">
      <c r="A65" s="705" t="s">
        <v>2221</v>
      </c>
      <c r="D65" s="705">
        <v>2.16</v>
      </c>
      <c r="E65" s="689" t="s">
        <v>1840</v>
      </c>
    </row>
    <row r="66" spans="1:6">
      <c r="A66" s="705" t="s">
        <v>2231</v>
      </c>
      <c r="D66" s="705">
        <v>1.83</v>
      </c>
    </row>
    <row r="67" spans="1:6">
      <c r="D67" s="705" t="s">
        <v>2232</v>
      </c>
    </row>
    <row r="68" spans="1:6">
      <c r="D68" s="705">
        <v>33</v>
      </c>
      <c r="E68" s="689" t="s">
        <v>1840</v>
      </c>
    </row>
    <row r="69" spans="1:6">
      <c r="D69" s="705" t="s">
        <v>2232</v>
      </c>
    </row>
    <row r="70" spans="1:6">
      <c r="A70" s="705">
        <v>33</v>
      </c>
      <c r="B70" s="689" t="s">
        <v>392</v>
      </c>
      <c r="C70" s="689" t="s">
        <v>28</v>
      </c>
      <c r="D70" s="705">
        <v>70.150000000000006</v>
      </c>
      <c r="E70" s="689" t="s">
        <v>392</v>
      </c>
      <c r="F70" s="705">
        <v>2314.9499999999998</v>
      </c>
    </row>
    <row r="71" spans="1:6">
      <c r="A71" s="705">
        <v>0.54</v>
      </c>
      <c r="B71" s="689" t="s">
        <v>788</v>
      </c>
      <c r="C71" s="689" t="s">
        <v>2223</v>
      </c>
      <c r="D71" s="705">
        <v>339.6</v>
      </c>
      <c r="E71" s="689" t="s">
        <v>788</v>
      </c>
      <c r="F71" s="705">
        <v>183.38</v>
      </c>
    </row>
    <row r="72" spans="1:6">
      <c r="A72" s="705">
        <v>0.54</v>
      </c>
      <c r="B72" s="689" t="s">
        <v>788</v>
      </c>
      <c r="C72" s="689" t="s">
        <v>2224</v>
      </c>
      <c r="D72" s="705">
        <v>116.55</v>
      </c>
      <c r="E72" s="689" t="s">
        <v>788</v>
      </c>
      <c r="F72" s="705">
        <v>62.94</v>
      </c>
    </row>
    <row r="73" spans="1:6">
      <c r="C73" s="689" t="s">
        <v>2225</v>
      </c>
      <c r="D73" s="705">
        <v>53.5</v>
      </c>
      <c r="E73" s="689" t="s">
        <v>106</v>
      </c>
      <c r="F73" s="705">
        <v>52.8</v>
      </c>
    </row>
    <row r="74" spans="1:6">
      <c r="F74" s="705" t="s">
        <v>1430</v>
      </c>
    </row>
    <row r="75" spans="1:6">
      <c r="C75" s="689" t="s">
        <v>2226</v>
      </c>
      <c r="F75" s="705">
        <v>2614.0700000000002</v>
      </c>
    </row>
    <row r="76" spans="1:6">
      <c r="F76" s="705" t="s">
        <v>1430</v>
      </c>
    </row>
    <row r="77" spans="1:6">
      <c r="D77" s="705" t="s">
        <v>2233</v>
      </c>
      <c r="F77" s="705">
        <v>4840.87</v>
      </c>
    </row>
    <row r="79" spans="1:6" ht="31.5">
      <c r="A79" s="686">
        <v>39</v>
      </c>
      <c r="B79" s="642"/>
      <c r="C79" s="643" t="s">
        <v>3052</v>
      </c>
      <c r="D79" s="686">
        <v>70.150000000000006</v>
      </c>
      <c r="E79" s="642" t="s">
        <v>392</v>
      </c>
      <c r="F79" s="686">
        <v>70.150000000000006</v>
      </c>
    </row>
    <row r="81" spans="1:6">
      <c r="A81" s="686" t="s">
        <v>408</v>
      </c>
      <c r="B81" s="642" t="s">
        <v>67</v>
      </c>
      <c r="C81" s="642" t="s">
        <v>429</v>
      </c>
      <c r="D81" s="686"/>
      <c r="E81" s="642"/>
      <c r="F81" s="686"/>
    </row>
    <row r="82" spans="1:6">
      <c r="A82" s="686"/>
      <c r="B82" s="642"/>
      <c r="C82" s="642" t="s">
        <v>411</v>
      </c>
      <c r="D82" s="686"/>
      <c r="E82" s="642"/>
      <c r="F82" s="686"/>
    </row>
    <row r="83" spans="1:6">
      <c r="A83" s="686">
        <v>9</v>
      </c>
      <c r="B83" s="642" t="s">
        <v>93</v>
      </c>
      <c r="C83" s="642" t="s">
        <v>412</v>
      </c>
      <c r="D83" s="686">
        <v>2732.1</v>
      </c>
      <c r="E83" s="642" t="s">
        <v>93</v>
      </c>
      <c r="F83" s="686">
        <v>24588.9</v>
      </c>
    </row>
    <row r="84" spans="1:6">
      <c r="A84" s="686">
        <v>4.5</v>
      </c>
      <c r="B84" s="642" t="s">
        <v>93</v>
      </c>
      <c r="C84" s="642" t="s">
        <v>245</v>
      </c>
      <c r="D84" s="686">
        <v>4872.76</v>
      </c>
      <c r="E84" s="642" t="s">
        <v>93</v>
      </c>
      <c r="F84" s="686">
        <v>21927.42</v>
      </c>
    </row>
    <row r="85" spans="1:6">
      <c r="A85" s="686">
        <v>1.8</v>
      </c>
      <c r="B85" s="642" t="s">
        <v>105</v>
      </c>
      <c r="C85" s="642" t="s">
        <v>269</v>
      </c>
      <c r="D85" s="686">
        <v>1237.5999999999999</v>
      </c>
      <c r="E85" s="642" t="s">
        <v>105</v>
      </c>
      <c r="F85" s="686">
        <v>2227.6799999999998</v>
      </c>
    </row>
    <row r="86" spans="1:6">
      <c r="A86" s="686">
        <v>17.7</v>
      </c>
      <c r="B86" s="642" t="s">
        <v>105</v>
      </c>
      <c r="C86" s="642" t="s">
        <v>271</v>
      </c>
      <c r="D86" s="686">
        <v>865.2</v>
      </c>
      <c r="E86" s="642" t="s">
        <v>105</v>
      </c>
      <c r="F86" s="686">
        <v>15314.04</v>
      </c>
    </row>
    <row r="87" spans="1:6">
      <c r="A87" s="686">
        <v>14.1</v>
      </c>
      <c r="B87" s="642" t="s">
        <v>105</v>
      </c>
      <c r="C87" s="642" t="s">
        <v>276</v>
      </c>
      <c r="D87" s="686">
        <v>709.8</v>
      </c>
      <c r="E87" s="642" t="s">
        <v>105</v>
      </c>
      <c r="F87" s="686">
        <v>10008.18</v>
      </c>
    </row>
    <row r="88" spans="1:6">
      <c r="A88" s="686"/>
      <c r="B88" s="642" t="s">
        <v>106</v>
      </c>
      <c r="C88" s="642" t="s">
        <v>107</v>
      </c>
      <c r="D88" s="686"/>
      <c r="E88" s="642" t="s">
        <v>106</v>
      </c>
      <c r="F88" s="686">
        <v>0</v>
      </c>
    </row>
    <row r="89" spans="1:6">
      <c r="A89" s="686"/>
      <c r="B89" s="642"/>
      <c r="C89" s="642" t="s">
        <v>280</v>
      </c>
      <c r="D89" s="686"/>
      <c r="E89" s="642"/>
      <c r="F89" s="686">
        <v>74066.22</v>
      </c>
    </row>
    <row r="90" spans="1:6">
      <c r="A90" s="686"/>
      <c r="B90" s="642"/>
      <c r="C90" s="642" t="s">
        <v>201</v>
      </c>
      <c r="D90" s="686"/>
      <c r="E90" s="642"/>
      <c r="F90" s="686">
        <v>7406.62</v>
      </c>
    </row>
    <row r="92" spans="1:6">
      <c r="A92" s="686"/>
      <c r="B92" s="642"/>
      <c r="C92" s="642" t="s">
        <v>282</v>
      </c>
      <c r="D92" s="686"/>
      <c r="E92" s="642"/>
      <c r="F92" s="686"/>
    </row>
    <row r="93" spans="1:6">
      <c r="A93" s="686">
        <v>6.5</v>
      </c>
      <c r="B93" s="642" t="s">
        <v>67</v>
      </c>
      <c r="C93" s="642" t="s">
        <v>285</v>
      </c>
      <c r="D93" s="686"/>
      <c r="E93" s="642"/>
      <c r="F93" s="686"/>
    </row>
    <row r="94" spans="1:6">
      <c r="A94" s="686"/>
      <c r="B94" s="642"/>
      <c r="C94" s="642" t="s">
        <v>288</v>
      </c>
      <c r="D94" s="686"/>
      <c r="E94" s="642"/>
      <c r="F94" s="686"/>
    </row>
    <row r="95" spans="1:6">
      <c r="A95" s="686">
        <v>1300</v>
      </c>
      <c r="B95" s="642" t="s">
        <v>293</v>
      </c>
      <c r="C95" s="642" t="s">
        <v>288</v>
      </c>
      <c r="D95" s="686">
        <v>9034.65</v>
      </c>
      <c r="E95" s="642" t="s">
        <v>294</v>
      </c>
      <c r="F95" s="686">
        <v>11745.05</v>
      </c>
    </row>
    <row r="96" spans="1:6">
      <c r="A96" s="686">
        <v>0.70799999999999996</v>
      </c>
      <c r="B96" s="642" t="s">
        <v>93</v>
      </c>
      <c r="C96" s="642" t="s">
        <v>245</v>
      </c>
      <c r="D96" s="686">
        <v>4872.76</v>
      </c>
      <c r="E96" s="642" t="s">
        <v>93</v>
      </c>
      <c r="F96" s="686">
        <v>3449.91</v>
      </c>
    </row>
    <row r="97" spans="1:6">
      <c r="A97" s="686">
        <v>1</v>
      </c>
      <c r="B97" s="642" t="s">
        <v>105</v>
      </c>
      <c r="C97" s="642" t="s">
        <v>298</v>
      </c>
      <c r="D97" s="686">
        <v>1325.8</v>
      </c>
      <c r="E97" s="642" t="s">
        <v>105</v>
      </c>
      <c r="F97" s="686">
        <v>1325.8</v>
      </c>
    </row>
    <row r="98" spans="1:6">
      <c r="A98" s="686">
        <v>3</v>
      </c>
      <c r="B98" s="642" t="s">
        <v>105</v>
      </c>
      <c r="C98" s="642" t="s">
        <v>269</v>
      </c>
      <c r="D98" s="686">
        <v>1237.5999999999999</v>
      </c>
      <c r="E98" s="642" t="s">
        <v>105</v>
      </c>
      <c r="F98" s="686">
        <v>3712.8</v>
      </c>
    </row>
    <row r="99" spans="1:6">
      <c r="A99" s="686">
        <v>2</v>
      </c>
      <c r="B99" s="642" t="s">
        <v>105</v>
      </c>
      <c r="C99" s="642" t="s">
        <v>271</v>
      </c>
      <c r="D99" s="686">
        <v>865.2</v>
      </c>
      <c r="E99" s="642" t="s">
        <v>105</v>
      </c>
      <c r="F99" s="686">
        <v>1730.4</v>
      </c>
    </row>
    <row r="100" spans="1:6">
      <c r="A100" s="686">
        <v>6</v>
      </c>
      <c r="B100" s="642" t="s">
        <v>105</v>
      </c>
      <c r="C100" s="642" t="s">
        <v>276</v>
      </c>
      <c r="D100" s="686">
        <v>709.8</v>
      </c>
      <c r="E100" s="642" t="s">
        <v>105</v>
      </c>
      <c r="F100" s="686">
        <v>4258.8</v>
      </c>
    </row>
    <row r="101" spans="1:6">
      <c r="A101" s="686"/>
      <c r="B101" s="642" t="s">
        <v>106</v>
      </c>
      <c r="C101" s="642" t="s">
        <v>107</v>
      </c>
      <c r="D101" s="686"/>
      <c r="E101" s="642" t="s">
        <v>106</v>
      </c>
      <c r="F101" s="686">
        <v>5</v>
      </c>
    </row>
    <row r="102" spans="1:6">
      <c r="A102" s="686"/>
      <c r="B102" s="642"/>
      <c r="C102" s="642" t="s">
        <v>304</v>
      </c>
      <c r="D102" s="686"/>
      <c r="E102" s="642"/>
      <c r="F102" s="686">
        <v>26227.759999999998</v>
      </c>
    </row>
    <row r="103" spans="1:6">
      <c r="A103" s="686"/>
      <c r="B103" s="642"/>
      <c r="C103" s="642" t="s">
        <v>201</v>
      </c>
      <c r="D103" s="686"/>
      <c r="E103" s="642"/>
      <c r="F103" s="686">
        <v>9262.26</v>
      </c>
    </row>
    <row r="104" spans="1:6">
      <c r="A104" s="686"/>
      <c r="B104" s="642"/>
      <c r="C104" s="642" t="s">
        <v>309</v>
      </c>
      <c r="D104" s="686"/>
      <c r="E104" s="642"/>
      <c r="F104" s="686">
        <v>9366.98</v>
      </c>
    </row>
    <row r="105" spans="1:6">
      <c r="A105" s="686"/>
      <c r="B105" s="642"/>
      <c r="C105" s="642"/>
      <c r="D105" s="686"/>
      <c r="E105" s="642"/>
      <c r="F105" s="686"/>
    </row>
    <row r="106" spans="1:6" s="642" customFormat="1">
      <c r="A106" s="686">
        <v>9</v>
      </c>
      <c r="B106" s="642" t="s">
        <v>67</v>
      </c>
      <c r="C106" s="642" t="s">
        <v>334</v>
      </c>
      <c r="D106" s="686"/>
      <c r="F106" s="686"/>
    </row>
    <row r="107" spans="1:6" s="642" customFormat="1">
      <c r="A107" s="686"/>
      <c r="C107" s="642" t="s">
        <v>288</v>
      </c>
      <c r="D107" s="686"/>
      <c r="F107" s="686"/>
    </row>
    <row r="108" spans="1:6" s="642" customFormat="1">
      <c r="A108" s="686">
        <v>1300</v>
      </c>
      <c r="B108" s="642" t="s">
        <v>293</v>
      </c>
      <c r="C108" s="642" t="s">
        <v>288</v>
      </c>
      <c r="D108" s="686">
        <v>9034.65</v>
      </c>
      <c r="E108" s="642" t="s">
        <v>294</v>
      </c>
      <c r="F108" s="686">
        <v>11745.05</v>
      </c>
    </row>
    <row r="109" spans="1:6" s="642" customFormat="1">
      <c r="A109" s="686">
        <v>0.70799999999999996</v>
      </c>
      <c r="B109" s="642" t="s">
        <v>93</v>
      </c>
      <c r="C109" s="642" t="s">
        <v>266</v>
      </c>
      <c r="D109" s="686">
        <v>4582.84</v>
      </c>
      <c r="E109" s="642" t="s">
        <v>93</v>
      </c>
      <c r="F109" s="686">
        <v>3244.65</v>
      </c>
    </row>
    <row r="110" spans="1:6" s="642" customFormat="1">
      <c r="A110" s="686">
        <v>1</v>
      </c>
      <c r="B110" s="642" t="s">
        <v>105</v>
      </c>
      <c r="C110" s="642" t="s">
        <v>298</v>
      </c>
      <c r="D110" s="686">
        <v>1325.8</v>
      </c>
      <c r="E110" s="642" t="s">
        <v>105</v>
      </c>
      <c r="F110" s="686">
        <v>1325.8</v>
      </c>
    </row>
    <row r="111" spans="1:6" s="642" customFormat="1">
      <c r="A111" s="686">
        <v>3</v>
      </c>
      <c r="B111" s="642" t="s">
        <v>105</v>
      </c>
      <c r="C111" s="642" t="s">
        <v>269</v>
      </c>
      <c r="D111" s="686">
        <v>1237.5999999999999</v>
      </c>
      <c r="E111" s="642" t="s">
        <v>105</v>
      </c>
      <c r="F111" s="686">
        <v>3712.8</v>
      </c>
    </row>
    <row r="112" spans="1:6" s="642" customFormat="1">
      <c r="A112" s="686">
        <v>2</v>
      </c>
      <c r="B112" s="642" t="s">
        <v>105</v>
      </c>
      <c r="C112" s="642" t="s">
        <v>271</v>
      </c>
      <c r="D112" s="686">
        <v>865.2</v>
      </c>
      <c r="E112" s="642" t="s">
        <v>105</v>
      </c>
      <c r="F112" s="686">
        <v>1730.4</v>
      </c>
    </row>
    <row r="113" spans="1:6" s="642" customFormat="1">
      <c r="A113" s="686">
        <v>6</v>
      </c>
      <c r="B113" s="642" t="s">
        <v>105</v>
      </c>
      <c r="C113" s="642" t="s">
        <v>276</v>
      </c>
      <c r="D113" s="686">
        <v>709.8</v>
      </c>
      <c r="E113" s="642" t="s">
        <v>105</v>
      </c>
      <c r="F113" s="686">
        <v>4258.8</v>
      </c>
    </row>
    <row r="114" spans="1:6" s="642" customFormat="1">
      <c r="A114" s="686"/>
      <c r="B114" s="642" t="s">
        <v>106</v>
      </c>
      <c r="C114" s="642" t="s">
        <v>107</v>
      </c>
      <c r="D114" s="686"/>
      <c r="E114" s="642" t="s">
        <v>106</v>
      </c>
      <c r="F114" s="686">
        <v>5</v>
      </c>
    </row>
    <row r="115" spans="1:6" s="642" customFormat="1">
      <c r="A115" s="686"/>
      <c r="C115" s="642" t="s">
        <v>280</v>
      </c>
      <c r="D115" s="686"/>
      <c r="F115" s="686">
        <v>26022.5</v>
      </c>
    </row>
    <row r="116" spans="1:6" s="642" customFormat="1">
      <c r="A116" s="686"/>
      <c r="C116" s="642" t="s">
        <v>201</v>
      </c>
      <c r="D116" s="686"/>
      <c r="F116" s="686">
        <v>9189.77</v>
      </c>
    </row>
    <row r="117" spans="1:6" s="642" customFormat="1">
      <c r="A117" s="686"/>
      <c r="C117" s="642" t="s">
        <v>309</v>
      </c>
      <c r="D117" s="686"/>
      <c r="F117" s="686">
        <v>9294.49</v>
      </c>
    </row>
    <row r="118" spans="1:6" s="642" customFormat="1">
      <c r="A118" s="686"/>
      <c r="C118" s="642" t="s">
        <v>313</v>
      </c>
      <c r="D118" s="686"/>
      <c r="F118" s="686">
        <v>9505.75</v>
      </c>
    </row>
    <row r="119" spans="1:6">
      <c r="A119" s="686"/>
      <c r="B119" s="642"/>
      <c r="C119" s="642"/>
      <c r="D119" s="686"/>
      <c r="E119" s="642"/>
      <c r="F119" s="686"/>
    </row>
    <row r="120" spans="1:6">
      <c r="A120" s="686"/>
      <c r="B120" s="642" t="s">
        <v>386</v>
      </c>
      <c r="C120" s="642" t="s">
        <v>387</v>
      </c>
      <c r="D120" s="686"/>
      <c r="E120" s="642"/>
      <c r="F120" s="686"/>
    </row>
    <row r="121" spans="1:6">
      <c r="A121" s="686">
        <v>1.1000000000000001</v>
      </c>
      <c r="B121" s="642" t="s">
        <v>93</v>
      </c>
      <c r="C121" s="642" t="s">
        <v>394</v>
      </c>
      <c r="D121" s="686">
        <v>9371</v>
      </c>
      <c r="E121" s="642" t="s">
        <v>93</v>
      </c>
      <c r="F121" s="686">
        <v>10308.1</v>
      </c>
    </row>
    <row r="122" spans="1:6">
      <c r="A122" s="686">
        <v>1</v>
      </c>
      <c r="B122" s="642" t="s">
        <v>196</v>
      </c>
      <c r="C122" s="642" t="s">
        <v>298</v>
      </c>
      <c r="D122" s="686">
        <v>1325.8</v>
      </c>
      <c r="E122" s="642" t="s">
        <v>105</v>
      </c>
      <c r="F122" s="686">
        <v>1325.8</v>
      </c>
    </row>
    <row r="123" spans="1:6">
      <c r="A123" s="686"/>
      <c r="B123" s="642" t="s">
        <v>106</v>
      </c>
      <c r="C123" s="642" t="s">
        <v>107</v>
      </c>
      <c r="D123" s="686" t="s">
        <v>27</v>
      </c>
      <c r="E123" s="642" t="s">
        <v>106</v>
      </c>
      <c r="F123" s="686">
        <v>0</v>
      </c>
    </row>
    <row r="124" spans="1:6">
      <c r="A124" s="686"/>
      <c r="B124" s="642"/>
      <c r="C124" s="642" t="s">
        <v>401</v>
      </c>
      <c r="D124" s="686"/>
      <c r="E124" s="642"/>
      <c r="F124" s="686">
        <v>11633.9</v>
      </c>
    </row>
    <row r="125" spans="1:6">
      <c r="A125" s="686"/>
      <c r="B125" s="642"/>
      <c r="C125" s="642" t="s">
        <v>403</v>
      </c>
      <c r="D125" s="686"/>
      <c r="E125" s="642"/>
      <c r="F125" s="686">
        <v>1163.3900000000001</v>
      </c>
    </row>
    <row r="126" spans="1:6">
      <c r="A126" s="686"/>
      <c r="B126" s="642"/>
      <c r="C126" s="642" t="s">
        <v>309</v>
      </c>
      <c r="D126" s="686"/>
      <c r="E126" s="642">
        <v>11.52</v>
      </c>
      <c r="F126" s="686">
        <v>1174.9100000000001</v>
      </c>
    </row>
    <row r="128" spans="1:6" s="642" customFormat="1">
      <c r="A128" s="686" t="s">
        <v>1625</v>
      </c>
      <c r="B128" s="642" t="s">
        <v>67</v>
      </c>
      <c r="C128" s="642" t="s">
        <v>1626</v>
      </c>
      <c r="D128" s="686"/>
      <c r="F128" s="686"/>
    </row>
    <row r="129" spans="1:6" s="642" customFormat="1">
      <c r="A129" s="686">
        <v>0.14000000000000001</v>
      </c>
      <c r="B129" s="642" t="s">
        <v>93</v>
      </c>
      <c r="C129" s="642" t="s">
        <v>218</v>
      </c>
      <c r="D129" s="686">
        <v>5307.64</v>
      </c>
      <c r="E129" s="642" t="s">
        <v>93</v>
      </c>
      <c r="F129" s="686">
        <v>743.07</v>
      </c>
    </row>
    <row r="130" spans="1:6" s="642" customFormat="1">
      <c r="A130" s="686">
        <v>1.1000000000000001</v>
      </c>
      <c r="B130" s="642" t="s">
        <v>105</v>
      </c>
      <c r="C130" s="642" t="s">
        <v>298</v>
      </c>
      <c r="D130" s="686">
        <v>1325.8</v>
      </c>
      <c r="E130" s="642" t="s">
        <v>105</v>
      </c>
      <c r="F130" s="686">
        <v>1458.38</v>
      </c>
    </row>
    <row r="131" spans="1:6" s="642" customFormat="1">
      <c r="A131" s="686">
        <v>0.5</v>
      </c>
      <c r="B131" s="642" t="s">
        <v>105</v>
      </c>
      <c r="C131" s="642" t="s">
        <v>271</v>
      </c>
      <c r="D131" s="686">
        <v>865.2</v>
      </c>
      <c r="E131" s="642" t="s">
        <v>105</v>
      </c>
      <c r="F131" s="686">
        <v>432.6</v>
      </c>
    </row>
    <row r="132" spans="1:6" s="642" customFormat="1">
      <c r="A132" s="686">
        <v>1.1000000000000001</v>
      </c>
      <c r="B132" s="642" t="s">
        <v>105</v>
      </c>
      <c r="C132" s="642" t="s">
        <v>276</v>
      </c>
      <c r="D132" s="686">
        <v>709.8</v>
      </c>
      <c r="E132" s="642" t="s">
        <v>105</v>
      </c>
      <c r="F132" s="686">
        <v>780.78</v>
      </c>
    </row>
    <row r="133" spans="1:6" s="642" customFormat="1">
      <c r="A133" s="686"/>
      <c r="B133" s="642" t="s">
        <v>106</v>
      </c>
      <c r="C133" s="642" t="s">
        <v>107</v>
      </c>
      <c r="D133" s="686" t="s">
        <v>27</v>
      </c>
      <c r="E133" s="642" t="s">
        <v>106</v>
      </c>
      <c r="F133" s="686">
        <v>5</v>
      </c>
    </row>
    <row r="134" spans="1:6" s="642" customFormat="1">
      <c r="A134" s="686"/>
      <c r="C134" s="642" t="s">
        <v>401</v>
      </c>
      <c r="D134" s="686"/>
      <c r="F134" s="686">
        <v>3419.83</v>
      </c>
    </row>
    <row r="135" spans="1:6" s="642" customFormat="1">
      <c r="A135" s="686"/>
      <c r="C135" s="642" t="s">
        <v>403</v>
      </c>
      <c r="D135" s="686"/>
      <c r="F135" s="686">
        <v>341.98</v>
      </c>
    </row>
    <row r="136" spans="1:6" s="642" customFormat="1">
      <c r="A136" s="686"/>
      <c r="D136" s="686"/>
      <c r="F136" s="686"/>
    </row>
    <row r="137" spans="1:6" s="642" customFormat="1">
      <c r="A137" s="686" t="s">
        <v>226</v>
      </c>
      <c r="B137" s="642" t="s">
        <v>67</v>
      </c>
      <c r="C137" s="642" t="s">
        <v>1480</v>
      </c>
      <c r="D137" s="686"/>
      <c r="F137" s="686"/>
    </row>
    <row r="138" spans="1:6" s="642" customFormat="1">
      <c r="A138" s="686"/>
      <c r="C138" s="642" t="s">
        <v>1481</v>
      </c>
      <c r="D138" s="686"/>
      <c r="F138" s="686"/>
    </row>
    <row r="139" spans="1:6" s="642" customFormat="1">
      <c r="A139" s="686">
        <v>0.22</v>
      </c>
      <c r="B139" s="642" t="s">
        <v>93</v>
      </c>
      <c r="C139" s="642" t="s">
        <v>218</v>
      </c>
      <c r="D139" s="686">
        <v>5307.64</v>
      </c>
      <c r="E139" s="642" t="s">
        <v>93</v>
      </c>
      <c r="F139" s="686">
        <v>1167.68</v>
      </c>
    </row>
    <row r="140" spans="1:6" s="642" customFormat="1">
      <c r="A140" s="686">
        <v>2.2000000000000002</v>
      </c>
      <c r="B140" s="642" t="s">
        <v>196</v>
      </c>
      <c r="C140" s="642" t="s">
        <v>298</v>
      </c>
      <c r="D140" s="686">
        <v>1325.8</v>
      </c>
      <c r="E140" s="642" t="s">
        <v>196</v>
      </c>
      <c r="F140" s="686">
        <v>2916.76</v>
      </c>
    </row>
    <row r="141" spans="1:6" s="642" customFormat="1">
      <c r="A141" s="686">
        <v>0.5</v>
      </c>
      <c r="B141" s="642" t="s">
        <v>196</v>
      </c>
      <c r="C141" s="642" t="s">
        <v>1482</v>
      </c>
      <c r="D141" s="686">
        <v>865.2</v>
      </c>
      <c r="E141" s="642" t="s">
        <v>196</v>
      </c>
      <c r="F141" s="686">
        <v>432.6</v>
      </c>
    </row>
    <row r="142" spans="1:6" s="642" customFormat="1">
      <c r="A142" s="686">
        <v>3.2</v>
      </c>
      <c r="B142" s="642" t="s">
        <v>196</v>
      </c>
      <c r="C142" s="642" t="s">
        <v>276</v>
      </c>
      <c r="D142" s="686">
        <v>709.8</v>
      </c>
      <c r="E142" s="642" t="s">
        <v>196</v>
      </c>
      <c r="F142" s="686">
        <v>2271.36</v>
      </c>
    </row>
    <row r="143" spans="1:6" s="642" customFormat="1">
      <c r="A143" s="686"/>
      <c r="B143" s="642" t="s">
        <v>106</v>
      </c>
      <c r="C143" s="642" t="s">
        <v>107</v>
      </c>
      <c r="D143" s="686" t="s">
        <v>27</v>
      </c>
      <c r="E143" s="642" t="s">
        <v>106</v>
      </c>
      <c r="F143" s="686">
        <v>5</v>
      </c>
    </row>
    <row r="144" spans="1:6" s="642" customFormat="1">
      <c r="A144" s="686"/>
      <c r="C144" s="642" t="s">
        <v>401</v>
      </c>
      <c r="D144" s="686"/>
      <c r="F144" s="686">
        <v>6793.4</v>
      </c>
    </row>
    <row r="145" spans="1:6" s="642" customFormat="1">
      <c r="A145" s="686"/>
      <c r="C145" s="642" t="s">
        <v>403</v>
      </c>
      <c r="D145" s="686"/>
      <c r="F145" s="686">
        <v>679.34</v>
      </c>
    </row>
    <row r="147" spans="1:6" s="642" customFormat="1">
      <c r="A147" s="686" t="s">
        <v>1615</v>
      </c>
      <c r="B147" s="642" t="s">
        <v>67</v>
      </c>
      <c r="C147" s="642" t="s">
        <v>1616</v>
      </c>
      <c r="D147" s="686"/>
      <c r="F147" s="686"/>
    </row>
    <row r="148" spans="1:6" s="642" customFormat="1">
      <c r="A148" s="686">
        <v>0.14000000000000001</v>
      </c>
      <c r="B148" s="642" t="s">
        <v>93</v>
      </c>
      <c r="C148" s="642" t="s">
        <v>245</v>
      </c>
      <c r="D148" s="686">
        <v>4872.76</v>
      </c>
      <c r="E148" s="642" t="s">
        <v>93</v>
      </c>
      <c r="F148" s="686">
        <v>682.19</v>
      </c>
    </row>
    <row r="149" spans="1:6" s="642" customFormat="1">
      <c r="A149" s="686">
        <v>1.1000000000000001</v>
      </c>
      <c r="B149" s="642" t="s">
        <v>105</v>
      </c>
      <c r="C149" s="642" t="s">
        <v>298</v>
      </c>
      <c r="D149" s="686">
        <v>1325.8</v>
      </c>
      <c r="E149" s="642" t="s">
        <v>105</v>
      </c>
      <c r="F149" s="686">
        <v>1458.38</v>
      </c>
    </row>
    <row r="150" spans="1:6" s="642" customFormat="1">
      <c r="A150" s="686">
        <v>0.5</v>
      </c>
      <c r="B150" s="642" t="s">
        <v>105</v>
      </c>
      <c r="C150" s="642" t="s">
        <v>271</v>
      </c>
      <c r="D150" s="686">
        <v>865.2</v>
      </c>
      <c r="E150" s="642" t="s">
        <v>105</v>
      </c>
      <c r="F150" s="686">
        <v>432.6</v>
      </c>
    </row>
    <row r="151" spans="1:6" s="642" customFormat="1">
      <c r="A151" s="686">
        <v>1.1000000000000001</v>
      </c>
      <c r="B151" s="642" t="s">
        <v>105</v>
      </c>
      <c r="C151" s="642" t="s">
        <v>276</v>
      </c>
      <c r="D151" s="686">
        <v>709.8</v>
      </c>
      <c r="E151" s="642" t="s">
        <v>105</v>
      </c>
      <c r="F151" s="686">
        <v>780.78</v>
      </c>
    </row>
    <row r="152" spans="1:6" s="642" customFormat="1">
      <c r="A152" s="686"/>
      <c r="B152" s="642" t="s">
        <v>106</v>
      </c>
      <c r="C152" s="642" t="s">
        <v>107</v>
      </c>
      <c r="D152" s="686" t="s">
        <v>27</v>
      </c>
      <c r="E152" s="642" t="s">
        <v>106</v>
      </c>
      <c r="F152" s="686">
        <v>5</v>
      </c>
    </row>
    <row r="153" spans="1:6" s="642" customFormat="1">
      <c r="A153" s="686"/>
      <c r="C153" s="642" t="s">
        <v>401</v>
      </c>
      <c r="D153" s="686"/>
      <c r="F153" s="686">
        <v>3358.95</v>
      </c>
    </row>
    <row r="154" spans="1:6" s="642" customFormat="1">
      <c r="A154" s="686"/>
      <c r="C154" s="642" t="s">
        <v>403</v>
      </c>
      <c r="D154" s="686"/>
      <c r="F154" s="686">
        <v>335.9</v>
      </c>
    </row>
    <row r="156" spans="1:6">
      <c r="A156" s="686"/>
      <c r="B156" s="642"/>
      <c r="C156" s="684" t="s">
        <v>1198</v>
      </c>
      <c r="D156" s="686"/>
      <c r="E156" s="642"/>
      <c r="F156" s="686"/>
    </row>
    <row r="157" spans="1:6">
      <c r="A157" s="686"/>
      <c r="B157" s="642"/>
      <c r="C157" s="642" t="s">
        <v>2476</v>
      </c>
      <c r="D157" s="686"/>
      <c r="E157" s="642"/>
      <c r="F157" s="686"/>
    </row>
    <row r="158" spans="1:6">
      <c r="A158" s="686"/>
      <c r="B158" s="642"/>
      <c r="C158" s="642" t="s">
        <v>2478</v>
      </c>
      <c r="D158" s="686"/>
      <c r="E158" s="642"/>
      <c r="F158" s="686"/>
    </row>
    <row r="159" spans="1:6">
      <c r="A159" s="686">
        <v>0.1</v>
      </c>
      <c r="B159" s="642" t="s">
        <v>969</v>
      </c>
      <c r="C159" s="642" t="s">
        <v>2093</v>
      </c>
      <c r="D159" s="686">
        <v>1170.4000000000001</v>
      </c>
      <c r="E159" s="642" t="s">
        <v>793</v>
      </c>
      <c r="F159" s="686">
        <v>117.04</v>
      </c>
    </row>
    <row r="160" spans="1:6">
      <c r="A160" s="686">
        <v>0.1</v>
      </c>
      <c r="B160" s="642" t="s">
        <v>2480</v>
      </c>
      <c r="C160" s="642" t="s">
        <v>1450</v>
      </c>
      <c r="D160" s="686">
        <v>865.2</v>
      </c>
      <c r="E160" s="642" t="s">
        <v>793</v>
      </c>
      <c r="F160" s="686">
        <v>86.52</v>
      </c>
    </row>
    <row r="161" spans="1:6">
      <c r="A161" s="686">
        <v>10</v>
      </c>
      <c r="B161" s="642" t="s">
        <v>2482</v>
      </c>
      <c r="C161" s="642" t="s">
        <v>3048</v>
      </c>
      <c r="D161" s="686">
        <v>18.3</v>
      </c>
      <c r="E161" s="642" t="s">
        <v>2484</v>
      </c>
      <c r="F161" s="686">
        <v>1.83</v>
      </c>
    </row>
    <row r="162" spans="1:6">
      <c r="A162" s="686">
        <v>0.25</v>
      </c>
      <c r="B162" s="642" t="s">
        <v>969</v>
      </c>
      <c r="C162" s="642" t="s">
        <v>3049</v>
      </c>
      <c r="D162" s="686">
        <v>3.57</v>
      </c>
      <c r="E162" s="642" t="s">
        <v>793</v>
      </c>
      <c r="F162" s="686">
        <v>1</v>
      </c>
    </row>
    <row r="163" spans="1:6">
      <c r="A163" s="686"/>
      <c r="B163" s="642"/>
      <c r="C163" s="642"/>
      <c r="D163" s="686" t="s">
        <v>2490</v>
      </c>
      <c r="E163" s="642"/>
      <c r="F163" s="686">
        <v>206.39</v>
      </c>
    </row>
    <row r="164" spans="1:6">
      <c r="A164" s="686"/>
      <c r="B164" s="642"/>
      <c r="C164" s="642"/>
      <c r="D164" s="686"/>
      <c r="E164" s="642"/>
      <c r="F164" s="686"/>
    </row>
    <row r="165" spans="1:6">
      <c r="A165" s="686"/>
      <c r="B165" s="642"/>
      <c r="C165" s="642" t="s">
        <v>2365</v>
      </c>
      <c r="D165" s="685" t="s">
        <v>2492</v>
      </c>
      <c r="E165" s="684"/>
      <c r="F165" s="685" t="s">
        <v>2493</v>
      </c>
    </row>
    <row r="166" spans="1:6">
      <c r="A166" s="686"/>
      <c r="B166" s="642"/>
      <c r="C166" s="642"/>
      <c r="D166" s="686">
        <v>331</v>
      </c>
      <c r="E166" s="642"/>
      <c r="F166" s="686">
        <v>283</v>
      </c>
    </row>
    <row r="167" spans="1:6">
      <c r="A167" s="686"/>
      <c r="B167" s="642"/>
      <c r="C167" s="642" t="s">
        <v>2495</v>
      </c>
      <c r="D167" s="686">
        <v>206.39</v>
      </c>
      <c r="E167" s="642"/>
      <c r="F167" s="686">
        <v>206.39</v>
      </c>
    </row>
    <row r="168" spans="1:6">
      <c r="A168" s="686"/>
      <c r="B168" s="642"/>
      <c r="C168" s="642" t="s">
        <v>2100</v>
      </c>
      <c r="D168" s="686">
        <v>537.39</v>
      </c>
      <c r="E168" s="642"/>
      <c r="F168" s="686">
        <v>489.39</v>
      </c>
    </row>
    <row r="169" spans="1:6">
      <c r="A169" s="686"/>
      <c r="B169" s="642"/>
      <c r="C169" s="642"/>
      <c r="D169" s="686">
        <v>538</v>
      </c>
      <c r="E169" s="642"/>
      <c r="F169" s="686">
        <v>490</v>
      </c>
    </row>
    <row r="170" spans="1:6">
      <c r="A170" s="686">
        <v>52</v>
      </c>
      <c r="B170" s="642" t="s">
        <v>67</v>
      </c>
      <c r="C170" s="642" t="s">
        <v>1862</v>
      </c>
      <c r="D170" s="686"/>
      <c r="E170" s="642"/>
      <c r="F170" s="686"/>
    </row>
    <row r="171" spans="1:6">
      <c r="A171" s="686"/>
      <c r="B171" s="642"/>
      <c r="C171" s="642" t="s">
        <v>1863</v>
      </c>
      <c r="D171" s="686"/>
      <c r="E171" s="642"/>
      <c r="F171" s="686"/>
    </row>
    <row r="172" spans="1:6">
      <c r="A172" s="686"/>
      <c r="B172" s="642"/>
      <c r="C172" s="642" t="s">
        <v>1865</v>
      </c>
      <c r="D172" s="686"/>
      <c r="E172" s="642"/>
      <c r="F172" s="686"/>
    </row>
    <row r="173" spans="1:6">
      <c r="A173" s="686"/>
      <c r="B173" s="642"/>
      <c r="C173" s="642" t="s">
        <v>1867</v>
      </c>
      <c r="D173" s="686"/>
      <c r="E173" s="642"/>
      <c r="F173" s="686"/>
    </row>
    <row r="174" spans="1:6">
      <c r="A174" s="686"/>
      <c r="B174" s="642"/>
      <c r="C174" s="642" t="s">
        <v>1868</v>
      </c>
      <c r="D174" s="686"/>
      <c r="E174" s="642"/>
      <c r="F174" s="686"/>
    </row>
    <row r="175" spans="1:6">
      <c r="A175" s="686"/>
      <c r="B175" s="642"/>
      <c r="C175" s="642" t="s">
        <v>1869</v>
      </c>
      <c r="D175" s="686"/>
      <c r="E175" s="642"/>
      <c r="F175" s="686"/>
    </row>
    <row r="176" spans="1:6">
      <c r="A176" s="686"/>
      <c r="B176" s="642"/>
      <c r="C176" s="642" t="s">
        <v>1870</v>
      </c>
      <c r="D176" s="686"/>
      <c r="E176" s="642"/>
      <c r="F176" s="686"/>
    </row>
    <row r="177" spans="1:6">
      <c r="A177" s="686"/>
      <c r="B177" s="642"/>
      <c r="C177" s="642" t="s">
        <v>1871</v>
      </c>
      <c r="D177" s="686"/>
      <c r="E177" s="642"/>
      <c r="F177" s="686"/>
    </row>
    <row r="178" spans="1:6">
      <c r="A178" s="686"/>
      <c r="B178" s="642" t="s">
        <v>67</v>
      </c>
      <c r="C178" s="642" t="s">
        <v>1872</v>
      </c>
      <c r="D178" s="686"/>
      <c r="E178" s="642"/>
      <c r="F178" s="686"/>
    </row>
    <row r="179" spans="1:6">
      <c r="A179" s="686"/>
      <c r="B179" s="642"/>
      <c r="C179" s="642" t="s">
        <v>1873</v>
      </c>
      <c r="D179" s="686"/>
      <c r="E179" s="642"/>
      <c r="F179" s="686"/>
    </row>
    <row r="180" spans="1:6">
      <c r="A180" s="686"/>
      <c r="B180" s="642" t="s">
        <v>1098</v>
      </c>
      <c r="C180" s="642" t="s">
        <v>1874</v>
      </c>
      <c r="D180" s="686"/>
      <c r="E180" s="642"/>
      <c r="F180" s="686"/>
    </row>
    <row r="181" spans="1:6">
      <c r="A181" s="686">
        <v>1</v>
      </c>
      <c r="B181" s="642" t="s">
        <v>1125</v>
      </c>
      <c r="C181" s="642" t="s">
        <v>1875</v>
      </c>
      <c r="D181" s="686">
        <v>26</v>
      </c>
      <c r="E181" s="642" t="s">
        <v>1125</v>
      </c>
      <c r="F181" s="686">
        <v>26</v>
      </c>
    </row>
    <row r="182" spans="1:6">
      <c r="A182" s="686">
        <v>1</v>
      </c>
      <c r="B182" s="642" t="s">
        <v>106</v>
      </c>
      <c r="C182" s="642" t="s">
        <v>1876</v>
      </c>
      <c r="D182" s="686">
        <v>18.2</v>
      </c>
      <c r="E182" s="642" t="s">
        <v>106</v>
      </c>
      <c r="F182" s="686">
        <v>18.2</v>
      </c>
    </row>
    <row r="183" spans="1:6">
      <c r="A183" s="686">
        <v>1</v>
      </c>
      <c r="B183" s="642" t="s">
        <v>1125</v>
      </c>
      <c r="C183" s="642" t="s">
        <v>1877</v>
      </c>
      <c r="D183" s="686">
        <v>239.65</v>
      </c>
      <c r="E183" s="642" t="s">
        <v>1125</v>
      </c>
      <c r="F183" s="686">
        <v>239.65</v>
      </c>
    </row>
    <row r="184" spans="1:6">
      <c r="A184" s="686"/>
      <c r="B184" s="642"/>
      <c r="C184" s="642" t="s">
        <v>1878</v>
      </c>
      <c r="D184" s="686"/>
      <c r="E184" s="642"/>
      <c r="F184" s="686">
        <v>283.85000000000002</v>
      </c>
    </row>
    <row r="185" spans="1:6">
      <c r="A185" s="686"/>
      <c r="B185" s="642"/>
      <c r="C185" s="642" t="s">
        <v>27</v>
      </c>
      <c r="D185" s="686" t="s">
        <v>27</v>
      </c>
      <c r="E185" s="642"/>
      <c r="F185" s="686"/>
    </row>
    <row r="186" spans="1:6">
      <c r="A186" s="686"/>
      <c r="B186" s="642" t="s">
        <v>1064</v>
      </c>
      <c r="C186" s="642" t="s">
        <v>1880</v>
      </c>
      <c r="D186" s="686"/>
      <c r="E186" s="642"/>
      <c r="F186" s="686"/>
    </row>
    <row r="187" spans="1:6">
      <c r="A187" s="686">
        <v>1</v>
      </c>
      <c r="B187" s="642" t="s">
        <v>1125</v>
      </c>
      <c r="C187" s="642" t="s">
        <v>1882</v>
      </c>
      <c r="D187" s="686">
        <v>35</v>
      </c>
      <c r="E187" s="642" t="s">
        <v>1125</v>
      </c>
      <c r="F187" s="686">
        <v>35</v>
      </c>
    </row>
    <row r="188" spans="1:6">
      <c r="A188" s="686">
        <v>1</v>
      </c>
      <c r="B188" s="642" t="s">
        <v>106</v>
      </c>
      <c r="C188" s="642" t="s">
        <v>1884</v>
      </c>
      <c r="D188" s="686">
        <v>14</v>
      </c>
      <c r="E188" s="642" t="s">
        <v>106</v>
      </c>
      <c r="F188" s="686">
        <v>14</v>
      </c>
    </row>
    <row r="189" spans="1:6">
      <c r="A189" s="686">
        <v>1</v>
      </c>
      <c r="B189" s="642" t="s">
        <v>1125</v>
      </c>
      <c r="C189" s="642" t="s">
        <v>1877</v>
      </c>
      <c r="D189" s="686">
        <v>239.63</v>
      </c>
      <c r="E189" s="642" t="s">
        <v>1125</v>
      </c>
      <c r="F189" s="686">
        <v>239.63</v>
      </c>
    </row>
    <row r="190" spans="1:6">
      <c r="A190" s="686"/>
      <c r="B190" s="642"/>
      <c r="C190" s="642" t="s">
        <v>1878</v>
      </c>
      <c r="D190" s="686"/>
      <c r="E190" s="642"/>
      <c r="F190" s="686">
        <v>288.63</v>
      </c>
    </row>
    <row r="191" spans="1:6">
      <c r="A191" s="686"/>
      <c r="B191" s="642"/>
      <c r="C191" s="642"/>
      <c r="D191" s="686" t="s">
        <v>27</v>
      </c>
      <c r="E191" s="642"/>
      <c r="F191" s="686"/>
    </row>
    <row r="192" spans="1:6">
      <c r="A192" s="686"/>
      <c r="B192" s="642" t="s">
        <v>1035</v>
      </c>
      <c r="C192" s="642" t="s">
        <v>1885</v>
      </c>
      <c r="D192" s="686"/>
      <c r="E192" s="642"/>
      <c r="F192" s="686"/>
    </row>
    <row r="193" spans="1:6">
      <c r="A193" s="686">
        <v>1</v>
      </c>
      <c r="B193" s="642" t="s">
        <v>1125</v>
      </c>
      <c r="C193" s="642" t="s">
        <v>1887</v>
      </c>
      <c r="D193" s="686">
        <v>52</v>
      </c>
      <c r="E193" s="642" t="s">
        <v>1125</v>
      </c>
      <c r="F193" s="686">
        <v>52</v>
      </c>
    </row>
    <row r="194" spans="1:6">
      <c r="A194" s="686">
        <v>1</v>
      </c>
      <c r="B194" s="642" t="s">
        <v>106</v>
      </c>
      <c r="C194" s="642" t="s">
        <v>1883</v>
      </c>
      <c r="D194" s="686">
        <v>10.4</v>
      </c>
      <c r="E194" s="642" t="s">
        <v>106</v>
      </c>
      <c r="F194" s="686">
        <v>10.4</v>
      </c>
    </row>
    <row r="195" spans="1:6">
      <c r="A195" s="686">
        <v>1</v>
      </c>
      <c r="B195" s="642" t="s">
        <v>1125</v>
      </c>
      <c r="C195" s="642" t="s">
        <v>1877</v>
      </c>
      <c r="D195" s="686">
        <v>243.84</v>
      </c>
      <c r="E195" s="642" t="s">
        <v>1125</v>
      </c>
      <c r="F195" s="686">
        <v>243.84</v>
      </c>
    </row>
    <row r="196" spans="1:6">
      <c r="A196" s="686"/>
      <c r="B196" s="642"/>
      <c r="C196" s="642" t="s">
        <v>1878</v>
      </c>
      <c r="D196" s="686"/>
      <c r="E196" s="642"/>
      <c r="F196" s="686">
        <v>306.24</v>
      </c>
    </row>
    <row r="198" spans="1:6">
      <c r="A198" s="686" t="s">
        <v>1916</v>
      </c>
      <c r="B198" s="642" t="s">
        <v>67</v>
      </c>
      <c r="C198" s="642" t="s">
        <v>1917</v>
      </c>
      <c r="D198" s="686"/>
      <c r="E198" s="642"/>
      <c r="F198" s="686"/>
    </row>
    <row r="199" spans="1:6">
      <c r="A199" s="686"/>
      <c r="B199" s="642"/>
      <c r="C199" s="642" t="s">
        <v>1918</v>
      </c>
      <c r="D199" s="686"/>
      <c r="E199" s="642"/>
      <c r="F199" s="686"/>
    </row>
    <row r="200" spans="1:6">
      <c r="A200" s="686"/>
      <c r="B200" s="642"/>
      <c r="C200" s="642" t="s">
        <v>1919</v>
      </c>
      <c r="D200" s="686"/>
      <c r="E200" s="642"/>
      <c r="F200" s="686"/>
    </row>
    <row r="201" spans="1:6">
      <c r="A201" s="686"/>
      <c r="B201" s="642"/>
      <c r="C201" s="684" t="s">
        <v>1920</v>
      </c>
      <c r="D201" s="686"/>
      <c r="E201" s="642"/>
      <c r="F201" s="686"/>
    </row>
    <row r="202" spans="1:6">
      <c r="A202" s="686">
        <v>1</v>
      </c>
      <c r="B202" s="642" t="s">
        <v>105</v>
      </c>
      <c r="C202" s="642" t="s">
        <v>1921</v>
      </c>
      <c r="D202" s="686">
        <v>1201</v>
      </c>
      <c r="E202" s="642" t="s">
        <v>105</v>
      </c>
      <c r="F202" s="686">
        <v>1201</v>
      </c>
    </row>
    <row r="203" spans="1:6">
      <c r="A203" s="686">
        <v>0.65</v>
      </c>
      <c r="B203" s="642" t="s">
        <v>93</v>
      </c>
      <c r="C203" s="642" t="s">
        <v>1922</v>
      </c>
      <c r="D203" s="686">
        <v>297.5</v>
      </c>
      <c r="E203" s="642" t="s">
        <v>93</v>
      </c>
      <c r="F203" s="686">
        <v>193.38</v>
      </c>
    </row>
    <row r="204" spans="1:6">
      <c r="A204" s="686">
        <v>0.56999999999999995</v>
      </c>
      <c r="B204" s="642" t="s">
        <v>93</v>
      </c>
      <c r="C204" s="642" t="s">
        <v>1923</v>
      </c>
      <c r="D204" s="686">
        <v>51.73</v>
      </c>
      <c r="E204" s="642" t="s">
        <v>93</v>
      </c>
      <c r="F204" s="686">
        <v>29.49</v>
      </c>
    </row>
    <row r="205" spans="1:6">
      <c r="A205" s="686">
        <v>8.1000000000000003E-2</v>
      </c>
      <c r="B205" s="642" t="s">
        <v>93</v>
      </c>
      <c r="C205" s="642" t="s">
        <v>1924</v>
      </c>
      <c r="D205" s="686">
        <v>6362.66</v>
      </c>
      <c r="E205" s="642" t="s">
        <v>93</v>
      </c>
      <c r="F205" s="686">
        <v>515.38</v>
      </c>
    </row>
    <row r="206" spans="1:6">
      <c r="A206" s="686">
        <v>1</v>
      </c>
      <c r="B206" s="642" t="s">
        <v>105</v>
      </c>
      <c r="C206" s="642" t="s">
        <v>1741</v>
      </c>
      <c r="D206" s="686">
        <v>1149.4000000000001</v>
      </c>
      <c r="E206" s="642" t="s">
        <v>105</v>
      </c>
      <c r="F206" s="686">
        <v>1149.4000000000001</v>
      </c>
    </row>
    <row r="207" spans="1:6">
      <c r="A207" s="686">
        <v>0.5</v>
      </c>
      <c r="B207" s="642" t="s">
        <v>105</v>
      </c>
      <c r="C207" s="642" t="s">
        <v>269</v>
      </c>
      <c r="D207" s="686">
        <v>1237.5999999999999</v>
      </c>
      <c r="E207" s="642" t="s">
        <v>105</v>
      </c>
      <c r="F207" s="686">
        <v>618.79999999999995</v>
      </c>
    </row>
    <row r="208" spans="1:6">
      <c r="A208" s="686">
        <v>0.5</v>
      </c>
      <c r="B208" s="642" t="s">
        <v>105</v>
      </c>
      <c r="C208" s="642" t="s">
        <v>271</v>
      </c>
      <c r="D208" s="686">
        <v>865.2</v>
      </c>
      <c r="E208" s="642" t="s">
        <v>105</v>
      </c>
      <c r="F208" s="686">
        <v>432.6</v>
      </c>
    </row>
    <row r="209" spans="1:6">
      <c r="A209" s="686"/>
      <c r="B209" s="642" t="s">
        <v>106</v>
      </c>
      <c r="C209" s="642" t="s">
        <v>107</v>
      </c>
      <c r="D209" s="686" t="s">
        <v>27</v>
      </c>
      <c r="E209" s="642" t="s">
        <v>106</v>
      </c>
      <c r="F209" s="686">
        <v>1.25</v>
      </c>
    </row>
    <row r="210" spans="1:6">
      <c r="A210" s="686"/>
      <c r="B210" s="642"/>
      <c r="C210" s="642" t="s">
        <v>830</v>
      </c>
      <c r="D210" s="686"/>
      <c r="E210" s="642"/>
      <c r="F210" s="686">
        <v>4141.3</v>
      </c>
    </row>
    <row r="212" spans="1:6">
      <c r="A212" s="705" t="s">
        <v>1984</v>
      </c>
      <c r="B212" s="689" t="s">
        <v>67</v>
      </c>
      <c r="C212" s="689" t="s">
        <v>1985</v>
      </c>
    </row>
    <row r="213" spans="1:6">
      <c r="C213" s="689" t="s">
        <v>1986</v>
      </c>
    </row>
    <row r="214" spans="1:6">
      <c r="A214" s="705">
        <v>1</v>
      </c>
      <c r="B214" s="689" t="s">
        <v>105</v>
      </c>
      <c r="C214" s="689" t="s">
        <v>1987</v>
      </c>
      <c r="D214" s="705">
        <v>156</v>
      </c>
      <c r="E214" s="689" t="s">
        <v>105</v>
      </c>
      <c r="F214" s="705">
        <v>156</v>
      </c>
    </row>
    <row r="215" spans="1:6">
      <c r="B215" s="689" t="s">
        <v>106</v>
      </c>
      <c r="C215" s="689" t="s">
        <v>1988</v>
      </c>
      <c r="E215" s="689" t="s">
        <v>106</v>
      </c>
      <c r="F215" s="705">
        <v>4</v>
      </c>
    </row>
    <row r="216" spans="1:6">
      <c r="C216" s="689" t="s">
        <v>830</v>
      </c>
      <c r="F216" s="705">
        <v>160</v>
      </c>
    </row>
    <row r="218" spans="1:6">
      <c r="A218" s="642" t="s">
        <v>1943</v>
      </c>
      <c r="B218" s="642" t="s">
        <v>67</v>
      </c>
      <c r="C218" s="642" t="s">
        <v>1944</v>
      </c>
      <c r="D218" s="642"/>
      <c r="E218" s="642"/>
      <c r="F218" s="642"/>
    </row>
    <row r="219" spans="1:6">
      <c r="A219" s="642"/>
      <c r="B219" s="642"/>
      <c r="C219" s="642" t="s">
        <v>1945</v>
      </c>
      <c r="D219" s="642"/>
      <c r="E219" s="642"/>
      <c r="F219" s="642"/>
    </row>
    <row r="220" spans="1:6">
      <c r="A220" s="642"/>
      <c r="B220" s="642" t="s">
        <v>452</v>
      </c>
      <c r="C220" s="642" t="s">
        <v>1946</v>
      </c>
      <c r="D220" s="642"/>
      <c r="E220" s="642"/>
      <c r="F220" s="642"/>
    </row>
    <row r="221" spans="1:6">
      <c r="A221" s="642"/>
      <c r="B221" s="642"/>
      <c r="C221" s="642" t="s">
        <v>3047</v>
      </c>
      <c r="D221" s="642"/>
      <c r="E221" s="642"/>
      <c r="F221" s="642"/>
    </row>
    <row r="222" spans="1:6">
      <c r="A222" s="642"/>
      <c r="B222" s="642"/>
      <c r="C222" s="642" t="s">
        <v>1948</v>
      </c>
      <c r="D222" s="642"/>
      <c r="E222" s="642"/>
      <c r="F222" s="642"/>
    </row>
    <row r="223" spans="1:6">
      <c r="A223" s="642"/>
      <c r="B223" s="642"/>
      <c r="C223" s="642" t="s">
        <v>1949</v>
      </c>
      <c r="D223" s="642"/>
      <c r="E223" s="642"/>
      <c r="F223" s="642"/>
    </row>
    <row r="224" spans="1:6">
      <c r="A224" s="642"/>
      <c r="B224" s="642"/>
      <c r="C224" s="642" t="s">
        <v>1950</v>
      </c>
      <c r="D224" s="642"/>
      <c r="E224" s="642"/>
      <c r="F224" s="642"/>
    </row>
    <row r="225" spans="1:6">
      <c r="A225" s="642"/>
      <c r="B225" s="642"/>
      <c r="C225" s="642" t="s">
        <v>1951</v>
      </c>
      <c r="D225" s="642"/>
      <c r="E225" s="642"/>
      <c r="F225" s="642"/>
    </row>
    <row r="226" spans="1:6">
      <c r="A226" s="642"/>
      <c r="B226" s="642"/>
      <c r="C226" s="642" t="s">
        <v>1952</v>
      </c>
      <c r="D226" s="642"/>
      <c r="E226" s="642"/>
      <c r="F226" s="642"/>
    </row>
    <row r="227" spans="1:6">
      <c r="A227" s="642">
        <v>3</v>
      </c>
      <c r="B227" s="642" t="s">
        <v>244</v>
      </c>
      <c r="C227" s="642" t="s">
        <v>1953</v>
      </c>
      <c r="D227" s="642">
        <v>193.05</v>
      </c>
      <c r="E227" s="642" t="s">
        <v>244</v>
      </c>
      <c r="F227" s="642">
        <v>579.15</v>
      </c>
    </row>
    <row r="228" spans="1:6">
      <c r="A228" s="642">
        <v>1</v>
      </c>
      <c r="B228" s="642" t="s">
        <v>196</v>
      </c>
      <c r="C228" s="642" t="s">
        <v>1954</v>
      </c>
      <c r="D228" s="642">
        <v>76</v>
      </c>
      <c r="E228" s="642" t="s">
        <v>1083</v>
      </c>
      <c r="F228" s="642">
        <v>76</v>
      </c>
    </row>
    <row r="229" spans="1:6">
      <c r="A229" s="642">
        <v>1</v>
      </c>
      <c r="B229" s="642" t="s">
        <v>196</v>
      </c>
      <c r="C229" s="642" t="s">
        <v>1955</v>
      </c>
      <c r="D229" s="642">
        <v>82.3</v>
      </c>
      <c r="E229" s="642" t="s">
        <v>1083</v>
      </c>
      <c r="F229" s="642">
        <v>82.3</v>
      </c>
    </row>
    <row r="230" spans="1:6">
      <c r="A230" s="642">
        <v>1</v>
      </c>
      <c r="B230" s="642" t="s">
        <v>196</v>
      </c>
      <c r="C230" s="642" t="s">
        <v>1956</v>
      </c>
      <c r="D230" s="642">
        <v>187.8</v>
      </c>
      <c r="E230" s="642" t="s">
        <v>1083</v>
      </c>
      <c r="F230" s="642">
        <v>187.8</v>
      </c>
    </row>
    <row r="231" spans="1:6">
      <c r="A231" s="642">
        <v>0.5</v>
      </c>
      <c r="B231" s="642" t="s">
        <v>105</v>
      </c>
      <c r="C231" s="642" t="s">
        <v>1741</v>
      </c>
      <c r="D231" s="642">
        <v>1149.4000000000001</v>
      </c>
      <c r="E231" s="642" t="s">
        <v>1083</v>
      </c>
      <c r="F231" s="642">
        <v>574.70000000000005</v>
      </c>
    </row>
    <row r="232" spans="1:6">
      <c r="A232" s="642">
        <v>0.5</v>
      </c>
      <c r="B232" s="642" t="s">
        <v>105</v>
      </c>
      <c r="C232" s="642" t="s">
        <v>269</v>
      </c>
      <c r="D232" s="642">
        <v>1237.5999999999999</v>
      </c>
      <c r="E232" s="642" t="s">
        <v>1083</v>
      </c>
      <c r="F232" s="642">
        <v>618.79999999999995</v>
      </c>
    </row>
    <row r="233" spans="1:6">
      <c r="A233" s="642">
        <v>0.5</v>
      </c>
      <c r="B233" s="642" t="s">
        <v>105</v>
      </c>
      <c r="C233" s="642" t="s">
        <v>271</v>
      </c>
      <c r="D233" s="642">
        <v>865.2</v>
      </c>
      <c r="E233" s="642" t="s">
        <v>1083</v>
      </c>
      <c r="F233" s="642">
        <v>432.6</v>
      </c>
    </row>
    <row r="234" spans="1:6">
      <c r="A234" s="642"/>
      <c r="B234" s="642" t="s">
        <v>106</v>
      </c>
      <c r="C234" s="642" t="s">
        <v>1957</v>
      </c>
      <c r="D234" s="642">
        <v>2.79</v>
      </c>
      <c r="E234" s="642" t="s">
        <v>106</v>
      </c>
      <c r="F234" s="642">
        <v>2.79</v>
      </c>
    </row>
    <row r="235" spans="1:6">
      <c r="A235" s="642"/>
      <c r="B235" s="642"/>
      <c r="C235" s="642" t="s">
        <v>1958</v>
      </c>
      <c r="D235" s="642"/>
      <c r="E235" s="642"/>
      <c r="F235" s="642"/>
    </row>
    <row r="236" spans="1:6">
      <c r="A236" s="642"/>
      <c r="B236" s="642"/>
      <c r="C236" s="642" t="s">
        <v>1959</v>
      </c>
      <c r="D236" s="642"/>
      <c r="E236" s="642"/>
      <c r="F236" s="642"/>
    </row>
    <row r="237" spans="1:6">
      <c r="A237" s="642"/>
      <c r="B237" s="642"/>
      <c r="C237" s="642" t="s">
        <v>1960</v>
      </c>
      <c r="D237" s="642"/>
      <c r="E237" s="642" t="s">
        <v>106</v>
      </c>
      <c r="F237" s="642">
        <v>0.12</v>
      </c>
    </row>
    <row r="238" spans="1:6">
      <c r="A238" s="642"/>
      <c r="B238" s="642"/>
      <c r="C238" s="642" t="s">
        <v>1745</v>
      </c>
      <c r="D238" s="642"/>
      <c r="E238" s="642"/>
      <c r="F238" s="642">
        <v>2554.2600000000002</v>
      </c>
    </row>
    <row r="239" spans="1:6">
      <c r="A239" s="642"/>
      <c r="B239" s="642"/>
      <c r="C239" s="642" t="s">
        <v>665</v>
      </c>
      <c r="D239" s="642"/>
      <c r="E239" s="642"/>
      <c r="F239" s="642">
        <v>851.42</v>
      </c>
    </row>
    <row r="241" spans="1:10">
      <c r="C241" s="689" t="s">
        <v>3149</v>
      </c>
    </row>
    <row r="242" spans="1:10" ht="31.5">
      <c r="C242" s="707" t="s">
        <v>3150</v>
      </c>
    </row>
    <row r="243" spans="1:10">
      <c r="A243" s="705">
        <v>10</v>
      </c>
      <c r="B243" s="689" t="s">
        <v>244</v>
      </c>
      <c r="C243" s="689" t="s">
        <v>3151</v>
      </c>
      <c r="D243" s="705">
        <v>385</v>
      </c>
      <c r="E243" s="689" t="s">
        <v>244</v>
      </c>
      <c r="F243" s="705">
        <f>D243*A243</f>
        <v>3850</v>
      </c>
    </row>
    <row r="244" spans="1:10">
      <c r="A244" s="705">
        <v>10</v>
      </c>
      <c r="B244" s="689" t="s">
        <v>969</v>
      </c>
      <c r="C244" s="689" t="s">
        <v>3152</v>
      </c>
      <c r="D244" s="705">
        <v>180</v>
      </c>
      <c r="E244" s="689" t="s">
        <v>793</v>
      </c>
      <c r="F244" s="705">
        <f t="shared" ref="F244:F249" si="2">D244*A244</f>
        <v>1800</v>
      </c>
    </row>
    <row r="245" spans="1:10">
      <c r="A245" s="705">
        <v>0.5</v>
      </c>
      <c r="B245" s="689" t="s">
        <v>969</v>
      </c>
      <c r="C245" s="689" t="s">
        <v>3153</v>
      </c>
      <c r="D245" s="705">
        <f>J245</f>
        <v>1170.4000000000001</v>
      </c>
      <c r="E245" s="689" t="s">
        <v>793</v>
      </c>
      <c r="F245" s="705">
        <f t="shared" si="2"/>
        <v>585.20000000000005</v>
      </c>
      <c r="H245" s="705">
        <v>836</v>
      </c>
      <c r="I245" s="705">
        <f>H245*40%</f>
        <v>334.40000000000003</v>
      </c>
      <c r="J245" s="705">
        <f>H245+I245</f>
        <v>1170.4000000000001</v>
      </c>
    </row>
    <row r="246" spans="1:10">
      <c r="A246" s="705">
        <v>0.5</v>
      </c>
      <c r="B246" s="689" t="s">
        <v>969</v>
      </c>
      <c r="C246" s="689" t="s">
        <v>2683</v>
      </c>
      <c r="D246" s="705">
        <f>J246</f>
        <v>865.2</v>
      </c>
      <c r="E246" s="689" t="s">
        <v>793</v>
      </c>
      <c r="F246" s="705">
        <f t="shared" si="2"/>
        <v>432.6</v>
      </c>
      <c r="H246" s="705">
        <v>618</v>
      </c>
      <c r="I246" s="705">
        <f>H246*40%</f>
        <v>247.20000000000002</v>
      </c>
      <c r="J246" s="705">
        <f>H246+I246</f>
        <v>865.2</v>
      </c>
    </row>
    <row r="247" spans="1:10">
      <c r="A247" s="705">
        <v>1</v>
      </c>
      <c r="B247" s="689" t="s">
        <v>969</v>
      </c>
      <c r="C247" s="689" t="s">
        <v>3154</v>
      </c>
      <c r="D247" s="705">
        <v>140</v>
      </c>
      <c r="E247" s="689" t="s">
        <v>793</v>
      </c>
      <c r="F247" s="705">
        <f t="shared" si="2"/>
        <v>140</v>
      </c>
    </row>
    <row r="248" spans="1:10">
      <c r="A248" s="705">
        <v>1</v>
      </c>
      <c r="B248" s="689" t="s">
        <v>969</v>
      </c>
      <c r="C248" s="689" t="s">
        <v>3155</v>
      </c>
      <c r="D248" s="705">
        <v>340</v>
      </c>
      <c r="E248" s="689" t="s">
        <v>793</v>
      </c>
      <c r="F248" s="705">
        <f t="shared" si="2"/>
        <v>340</v>
      </c>
    </row>
    <row r="249" spans="1:10">
      <c r="A249" s="705">
        <v>1</v>
      </c>
      <c r="B249" s="689" t="s">
        <v>969</v>
      </c>
      <c r="C249" s="689" t="s">
        <v>3156</v>
      </c>
      <c r="D249" s="705">
        <v>180</v>
      </c>
      <c r="E249" s="689" t="s">
        <v>793</v>
      </c>
      <c r="F249" s="705">
        <f t="shared" si="2"/>
        <v>180</v>
      </c>
    </row>
    <row r="250" spans="1:10">
      <c r="C250" s="689" t="s">
        <v>3157</v>
      </c>
      <c r="E250" s="689" t="s">
        <v>363</v>
      </c>
      <c r="F250" s="705">
        <v>2.2000000000000002</v>
      </c>
    </row>
    <row r="251" spans="1:10">
      <c r="C251" s="689" t="s">
        <v>3158</v>
      </c>
      <c r="F251" s="705">
        <f>SUM(F243:F250)</f>
        <v>7330</v>
      </c>
    </row>
    <row r="252" spans="1:10">
      <c r="C252" s="689" t="s">
        <v>3159</v>
      </c>
      <c r="F252" s="705">
        <f>F251/10</f>
        <v>733</v>
      </c>
    </row>
    <row r="254" spans="1:10">
      <c r="A254" s="705">
        <v>44.1</v>
      </c>
      <c r="B254" s="689" t="s">
        <v>67</v>
      </c>
      <c r="C254" s="689" t="s">
        <v>1733</v>
      </c>
    </row>
    <row r="255" spans="1:10">
      <c r="C255" s="689" t="s">
        <v>1734</v>
      </c>
    </row>
    <row r="256" spans="1:10">
      <c r="C256" s="689" t="s">
        <v>3160</v>
      </c>
    </row>
    <row r="257" spans="1:6">
      <c r="A257" s="705">
        <v>3</v>
      </c>
      <c r="B257" s="689" t="s">
        <v>244</v>
      </c>
      <c r="C257" s="689" t="s">
        <v>1736</v>
      </c>
      <c r="D257" s="705">
        <v>120.54</v>
      </c>
      <c r="E257" s="689" t="s">
        <v>244</v>
      </c>
      <c r="F257" s="705">
        <v>361.62</v>
      </c>
    </row>
    <row r="258" spans="1:6">
      <c r="A258" s="705">
        <v>1</v>
      </c>
      <c r="B258" s="689" t="s">
        <v>105</v>
      </c>
      <c r="C258" s="689" t="s">
        <v>1737</v>
      </c>
      <c r="D258" s="705">
        <v>76</v>
      </c>
      <c r="E258" s="689" t="s">
        <v>105</v>
      </c>
      <c r="F258" s="705">
        <v>76</v>
      </c>
    </row>
    <row r="259" spans="1:6">
      <c r="A259" s="705">
        <v>1</v>
      </c>
      <c r="B259" s="689" t="s">
        <v>105</v>
      </c>
      <c r="C259" s="689" t="s">
        <v>1738</v>
      </c>
      <c r="D259" s="705">
        <v>83.4</v>
      </c>
      <c r="E259" s="689" t="s">
        <v>105</v>
      </c>
      <c r="F259" s="705">
        <v>83.4</v>
      </c>
    </row>
    <row r="260" spans="1:6">
      <c r="A260" s="705">
        <v>2</v>
      </c>
      <c r="B260" s="689" t="s">
        <v>105</v>
      </c>
      <c r="C260" s="689" t="s">
        <v>1739</v>
      </c>
      <c r="D260" s="705">
        <v>21.4</v>
      </c>
      <c r="E260" s="689" t="s">
        <v>105</v>
      </c>
      <c r="F260" s="705">
        <v>42.8</v>
      </c>
    </row>
    <row r="261" spans="1:6">
      <c r="A261" s="705">
        <v>1</v>
      </c>
      <c r="B261" s="689" t="s">
        <v>105</v>
      </c>
      <c r="C261" s="689" t="s">
        <v>1740</v>
      </c>
      <c r="D261" s="705">
        <v>32.1</v>
      </c>
      <c r="E261" s="689" t="s">
        <v>105</v>
      </c>
      <c r="F261" s="705">
        <v>32.1</v>
      </c>
    </row>
    <row r="262" spans="1:6">
      <c r="A262" s="705">
        <v>0.5</v>
      </c>
      <c r="B262" s="689" t="s">
        <v>105</v>
      </c>
      <c r="C262" s="689" t="s">
        <v>1741</v>
      </c>
      <c r="D262" s="705">
        <v>1149.4000000000001</v>
      </c>
      <c r="E262" s="689" t="s">
        <v>105</v>
      </c>
      <c r="F262" s="705">
        <v>574.70000000000005</v>
      </c>
    </row>
    <row r="263" spans="1:6">
      <c r="B263" s="689" t="s">
        <v>106</v>
      </c>
      <c r="C263" s="689" t="s">
        <v>1743</v>
      </c>
      <c r="E263" s="689" t="s">
        <v>106</v>
      </c>
    </row>
    <row r="264" spans="1:6">
      <c r="C264" s="689" t="s">
        <v>1744</v>
      </c>
    </row>
    <row r="265" spans="1:6">
      <c r="C265" s="689" t="s">
        <v>1745</v>
      </c>
      <c r="F265" s="705">
        <v>1170.6199999999999</v>
      </c>
    </row>
    <row r="266" spans="1:6">
      <c r="C266" s="689" t="s">
        <v>665</v>
      </c>
      <c r="F266" s="705">
        <v>390.21</v>
      </c>
    </row>
    <row r="268" spans="1:6">
      <c r="B268" s="689" t="s">
        <v>67</v>
      </c>
      <c r="C268" s="689" t="s">
        <v>2788</v>
      </c>
    </row>
    <row r="269" spans="1:6">
      <c r="C269" s="689" t="s">
        <v>2790</v>
      </c>
    </row>
    <row r="270" spans="1:6">
      <c r="C270" s="689" t="s">
        <v>643</v>
      </c>
    </row>
    <row r="271" spans="1:6">
      <c r="B271" s="689" t="s">
        <v>644</v>
      </c>
      <c r="C271" s="689" t="s">
        <v>2795</v>
      </c>
    </row>
    <row r="272" spans="1:6">
      <c r="C272" s="689" t="s">
        <v>48</v>
      </c>
    </row>
    <row r="273" spans="1:6">
      <c r="A273" s="705">
        <v>18.899999999999999</v>
      </c>
      <c r="B273" s="689" t="s">
        <v>93</v>
      </c>
      <c r="C273" s="689" t="s">
        <v>648</v>
      </c>
      <c r="D273" s="705">
        <v>297.5</v>
      </c>
      <c r="E273" s="689" t="s">
        <v>93</v>
      </c>
      <c r="F273" s="705">
        <v>5622.75</v>
      </c>
    </row>
    <row r="274" spans="1:6">
      <c r="A274" s="705">
        <v>18.63</v>
      </c>
      <c r="B274" s="689" t="s">
        <v>93</v>
      </c>
      <c r="C274" s="689" t="s">
        <v>649</v>
      </c>
      <c r="D274" s="705">
        <v>51.73</v>
      </c>
      <c r="E274" s="689" t="s">
        <v>93</v>
      </c>
      <c r="F274" s="705">
        <v>963.73</v>
      </c>
    </row>
    <row r="275" spans="1:6" ht="31.5">
      <c r="A275" s="705">
        <v>30</v>
      </c>
      <c r="B275" s="689" t="s">
        <v>244</v>
      </c>
      <c r="C275" s="707" t="s">
        <v>3161</v>
      </c>
      <c r="D275" s="705">
        <v>277</v>
      </c>
      <c r="E275" s="689" t="s">
        <v>244</v>
      </c>
      <c r="F275" s="705">
        <v>8310</v>
      </c>
    </row>
    <row r="276" spans="1:6">
      <c r="A276" s="705">
        <v>30</v>
      </c>
      <c r="B276" s="689" t="s">
        <v>244</v>
      </c>
      <c r="C276" s="689" t="s">
        <v>650</v>
      </c>
      <c r="D276" s="705">
        <v>17.399999999999999</v>
      </c>
      <c r="E276" s="689" t="s">
        <v>244</v>
      </c>
      <c r="F276" s="705">
        <v>522</v>
      </c>
    </row>
    <row r="277" spans="1:6">
      <c r="C277" s="689" t="s">
        <v>651</v>
      </c>
    </row>
    <row r="278" spans="1:6">
      <c r="C278" s="689" t="s">
        <v>652</v>
      </c>
    </row>
    <row r="279" spans="1:6">
      <c r="C279" s="689" t="s">
        <v>653</v>
      </c>
    </row>
    <row r="280" spans="1:6">
      <c r="C280" s="689" t="s">
        <v>2804</v>
      </c>
    </row>
    <row r="281" spans="1:6">
      <c r="A281" s="705">
        <v>5</v>
      </c>
      <c r="B281" s="689" t="s">
        <v>196</v>
      </c>
      <c r="C281" s="689" t="s">
        <v>2805</v>
      </c>
      <c r="D281" s="705">
        <v>44.9</v>
      </c>
      <c r="E281" s="689" t="s">
        <v>196</v>
      </c>
      <c r="F281" s="705">
        <v>224.5</v>
      </c>
    </row>
    <row r="282" spans="1:6">
      <c r="A282" s="705">
        <v>1</v>
      </c>
      <c r="B282" s="689" t="s">
        <v>106</v>
      </c>
      <c r="C282" s="689" t="s">
        <v>662</v>
      </c>
      <c r="D282" s="705">
        <v>12.1</v>
      </c>
      <c r="E282" s="689" t="s">
        <v>106</v>
      </c>
      <c r="F282" s="705">
        <v>12.1</v>
      </c>
    </row>
    <row r="283" spans="1:6">
      <c r="B283" s="689" t="s">
        <v>106</v>
      </c>
      <c r="C283" s="689" t="s">
        <v>107</v>
      </c>
      <c r="E283" s="689" t="s">
        <v>106</v>
      </c>
      <c r="F283" s="705">
        <v>17.100000000000001</v>
      </c>
    </row>
    <row r="284" spans="1:6">
      <c r="C284" s="689" t="s">
        <v>664</v>
      </c>
      <c r="F284" s="705">
        <v>15672.18</v>
      </c>
    </row>
    <row r="285" spans="1:6">
      <c r="C285" s="689" t="s">
        <v>665</v>
      </c>
      <c r="F285" s="705">
        <v>522.41</v>
      </c>
    </row>
    <row r="287" spans="1:6">
      <c r="A287" s="642">
        <v>29.5</v>
      </c>
      <c r="B287" s="642" t="s">
        <v>67</v>
      </c>
      <c r="C287" s="642" t="s">
        <v>1512</v>
      </c>
      <c r="D287" s="642"/>
      <c r="E287" s="642"/>
      <c r="F287" s="642"/>
    </row>
    <row r="288" spans="1:6">
      <c r="A288" s="642"/>
      <c r="B288" s="642"/>
      <c r="C288" s="642" t="s">
        <v>1513</v>
      </c>
      <c r="D288" s="642"/>
      <c r="E288" s="642"/>
      <c r="F288" s="642"/>
    </row>
    <row r="289" spans="1:6">
      <c r="A289" s="642"/>
      <c r="B289" s="642"/>
      <c r="C289" s="642" t="s">
        <v>1514</v>
      </c>
      <c r="D289" s="642"/>
      <c r="E289" s="642"/>
      <c r="F289" s="642"/>
    </row>
    <row r="290" spans="1:6">
      <c r="A290" s="642">
        <v>10</v>
      </c>
      <c r="B290" s="642" t="s">
        <v>438</v>
      </c>
      <c r="C290" s="642" t="s">
        <v>1515</v>
      </c>
      <c r="D290" s="642">
        <v>377.86</v>
      </c>
      <c r="E290" s="642" t="s">
        <v>438</v>
      </c>
      <c r="F290" s="642">
        <v>3778.6</v>
      </c>
    </row>
    <row r="291" spans="1:6">
      <c r="A291" s="642">
        <v>0.21</v>
      </c>
      <c r="B291" s="642" t="s">
        <v>93</v>
      </c>
      <c r="C291" s="642" t="s">
        <v>1488</v>
      </c>
      <c r="D291" s="642">
        <v>6032.44</v>
      </c>
      <c r="E291" s="642" t="s">
        <v>93</v>
      </c>
      <c r="F291" s="642">
        <v>1266.81</v>
      </c>
    </row>
    <row r="292" spans="1:6">
      <c r="A292" s="642"/>
      <c r="B292" s="642"/>
      <c r="C292" s="642" t="s">
        <v>1492</v>
      </c>
      <c r="D292" s="642" t="s">
        <v>27</v>
      </c>
      <c r="E292" s="642"/>
      <c r="F292" s="642" t="s">
        <v>27</v>
      </c>
    </row>
    <row r="293" spans="1:6">
      <c r="A293" s="642">
        <v>1.1000000000000001</v>
      </c>
      <c r="B293" s="642" t="s">
        <v>196</v>
      </c>
      <c r="C293" s="642" t="s">
        <v>298</v>
      </c>
      <c r="D293" s="642">
        <v>1325.8</v>
      </c>
      <c r="E293" s="642" t="s">
        <v>196</v>
      </c>
      <c r="F293" s="642">
        <v>1458.38</v>
      </c>
    </row>
    <row r="294" spans="1:6">
      <c r="A294" s="642">
        <v>1.1000000000000001</v>
      </c>
      <c r="B294" s="642" t="s">
        <v>196</v>
      </c>
      <c r="C294" s="642" t="s">
        <v>269</v>
      </c>
      <c r="D294" s="642">
        <v>1237.5999999999999</v>
      </c>
      <c r="E294" s="642" t="s">
        <v>196</v>
      </c>
      <c r="F294" s="642">
        <v>1361.36</v>
      </c>
    </row>
    <row r="295" spans="1:6">
      <c r="A295" s="642">
        <v>2.2000000000000002</v>
      </c>
      <c r="B295" s="642" t="s">
        <v>196</v>
      </c>
      <c r="C295" s="642" t="s">
        <v>271</v>
      </c>
      <c r="D295" s="642">
        <v>865.2</v>
      </c>
      <c r="E295" s="642" t="s">
        <v>196</v>
      </c>
      <c r="F295" s="642">
        <v>1903.44</v>
      </c>
    </row>
    <row r="296" spans="1:6">
      <c r="A296" s="642">
        <v>2.2000000000000002</v>
      </c>
      <c r="B296" s="642" t="s">
        <v>196</v>
      </c>
      <c r="C296" s="642" t="s">
        <v>276</v>
      </c>
      <c r="D296" s="642">
        <v>709.8</v>
      </c>
      <c r="E296" s="642" t="s">
        <v>196</v>
      </c>
      <c r="F296" s="642">
        <v>1561.56</v>
      </c>
    </row>
    <row r="297" spans="1:6">
      <c r="A297" s="642">
        <v>20</v>
      </c>
      <c r="B297" s="642" t="s">
        <v>392</v>
      </c>
      <c r="C297" s="642" t="s">
        <v>85</v>
      </c>
      <c r="D297" s="642">
        <v>6040</v>
      </c>
      <c r="E297" s="642" t="s">
        <v>84</v>
      </c>
      <c r="F297" s="642">
        <v>120.8</v>
      </c>
    </row>
    <row r="298" spans="1:6">
      <c r="A298" s="642">
        <v>2</v>
      </c>
      <c r="B298" s="642" t="s">
        <v>392</v>
      </c>
      <c r="C298" s="642" t="s">
        <v>1518</v>
      </c>
      <c r="D298" s="642">
        <v>36.1</v>
      </c>
      <c r="E298" s="642" t="s">
        <v>392</v>
      </c>
      <c r="F298" s="642">
        <v>72.2</v>
      </c>
    </row>
    <row r="299" spans="1:6">
      <c r="A299" s="642">
        <v>1.6</v>
      </c>
      <c r="B299" s="642" t="s">
        <v>196</v>
      </c>
      <c r="C299" s="642" t="s">
        <v>269</v>
      </c>
      <c r="D299" s="642">
        <v>1237.5999999999999</v>
      </c>
      <c r="E299" s="642" t="s">
        <v>196</v>
      </c>
      <c r="F299" s="642">
        <v>1980.16</v>
      </c>
    </row>
    <row r="300" spans="1:6">
      <c r="A300" s="642">
        <v>0.5</v>
      </c>
      <c r="B300" s="642" t="s">
        <v>196</v>
      </c>
      <c r="C300" s="642" t="s">
        <v>271</v>
      </c>
      <c r="D300" s="642">
        <v>865.2</v>
      </c>
      <c r="E300" s="642" t="s">
        <v>196</v>
      </c>
      <c r="F300" s="642">
        <v>432.6</v>
      </c>
    </row>
    <row r="301" spans="1:6">
      <c r="A301" s="642">
        <v>1.1000000000000001</v>
      </c>
      <c r="B301" s="642" t="s">
        <v>196</v>
      </c>
      <c r="C301" s="642" t="s">
        <v>276</v>
      </c>
      <c r="D301" s="642">
        <v>709.8</v>
      </c>
      <c r="E301" s="642" t="s">
        <v>196</v>
      </c>
      <c r="F301" s="642">
        <v>780.78</v>
      </c>
    </row>
    <row r="302" spans="1:6">
      <c r="A302" s="642"/>
      <c r="B302" s="642" t="s">
        <v>106</v>
      </c>
      <c r="C302" s="642" t="s">
        <v>107</v>
      </c>
      <c r="D302" s="642"/>
      <c r="E302" s="642" t="s">
        <v>106</v>
      </c>
      <c r="F302" s="642">
        <v>0</v>
      </c>
    </row>
    <row r="303" spans="1:6">
      <c r="A303" s="642"/>
      <c r="B303" s="642"/>
      <c r="C303" s="642" t="s">
        <v>401</v>
      </c>
      <c r="D303" s="642"/>
      <c r="E303" s="642"/>
      <c r="F303" s="642">
        <v>14716.69</v>
      </c>
    </row>
    <row r="304" spans="1:6">
      <c r="A304" s="642"/>
      <c r="B304" s="642"/>
      <c r="C304" s="642" t="s">
        <v>403</v>
      </c>
      <c r="D304" s="642"/>
      <c r="E304" s="642"/>
      <c r="F304" s="642">
        <v>1471.67</v>
      </c>
    </row>
    <row r="305" spans="1:6">
      <c r="A305" s="642"/>
      <c r="B305" s="642"/>
      <c r="C305" s="642"/>
      <c r="D305" s="642"/>
      <c r="E305" s="642"/>
      <c r="F305" s="642"/>
    </row>
    <row r="306" spans="1:6">
      <c r="A306" s="642">
        <v>29.4</v>
      </c>
      <c r="B306" s="642" t="s">
        <v>67</v>
      </c>
      <c r="C306" s="642" t="s">
        <v>1525</v>
      </c>
      <c r="D306" s="642"/>
      <c r="E306" s="642"/>
      <c r="F306" s="642"/>
    </row>
    <row r="307" spans="1:6">
      <c r="A307" s="642"/>
      <c r="B307" s="642"/>
      <c r="C307" s="642" t="s">
        <v>1527</v>
      </c>
      <c r="D307" s="642"/>
      <c r="E307" s="642"/>
      <c r="F307" s="642"/>
    </row>
    <row r="308" spans="1:6">
      <c r="A308" s="642">
        <v>1.86</v>
      </c>
      <c r="B308" s="642" t="s">
        <v>438</v>
      </c>
      <c r="C308" s="642" t="s">
        <v>1528</v>
      </c>
      <c r="D308" s="642">
        <v>415</v>
      </c>
      <c r="E308" s="642" t="s">
        <v>438</v>
      </c>
      <c r="F308" s="642">
        <v>771.9</v>
      </c>
    </row>
    <row r="309" spans="1:6">
      <c r="A309" s="642">
        <v>0.4</v>
      </c>
      <c r="B309" s="642" t="s">
        <v>392</v>
      </c>
      <c r="C309" s="642" t="s">
        <v>1496</v>
      </c>
      <c r="D309" s="642">
        <v>36.1</v>
      </c>
      <c r="E309" s="642" t="s">
        <v>392</v>
      </c>
      <c r="F309" s="642">
        <v>14.44</v>
      </c>
    </row>
    <row r="310" spans="1:6">
      <c r="A310" s="642">
        <v>0.02</v>
      </c>
      <c r="B310" s="642" t="s">
        <v>93</v>
      </c>
      <c r="C310" s="642" t="s">
        <v>1524</v>
      </c>
      <c r="D310" s="642">
        <v>7482.04</v>
      </c>
      <c r="E310" s="642" t="s">
        <v>93</v>
      </c>
      <c r="F310" s="642">
        <v>149.63999999999999</v>
      </c>
    </row>
    <row r="311" spans="1:6">
      <c r="A311" s="642">
        <v>1</v>
      </c>
      <c r="B311" s="642" t="s">
        <v>196</v>
      </c>
      <c r="C311" s="642" t="s">
        <v>298</v>
      </c>
      <c r="D311" s="642">
        <v>1325.8</v>
      </c>
      <c r="E311" s="642" t="s">
        <v>196</v>
      </c>
      <c r="F311" s="642">
        <v>1325.8</v>
      </c>
    </row>
    <row r="312" spans="1:6">
      <c r="A312" s="642">
        <v>1</v>
      </c>
      <c r="B312" s="642" t="s">
        <v>196</v>
      </c>
      <c r="C312" s="642" t="s">
        <v>1526</v>
      </c>
      <c r="D312" s="642">
        <v>865.2</v>
      </c>
      <c r="E312" s="642" t="s">
        <v>196</v>
      </c>
      <c r="F312" s="642">
        <v>865.2</v>
      </c>
    </row>
    <row r="313" spans="1:6">
      <c r="A313" s="642"/>
      <c r="B313" s="642" t="s">
        <v>106</v>
      </c>
      <c r="C313" s="642" t="s">
        <v>107</v>
      </c>
      <c r="D313" s="642"/>
      <c r="E313" s="642" t="s">
        <v>106</v>
      </c>
      <c r="F313" s="642"/>
    </row>
    <row r="314" spans="1:6">
      <c r="A314" s="642"/>
      <c r="B314" s="642"/>
      <c r="C314" s="642" t="s">
        <v>1529</v>
      </c>
      <c r="D314" s="642"/>
      <c r="E314" s="642"/>
      <c r="F314" s="642">
        <v>3126.98</v>
      </c>
    </row>
    <row r="315" spans="1:6">
      <c r="A315" s="642"/>
      <c r="B315" s="642"/>
      <c r="C315" s="642" t="s">
        <v>403</v>
      </c>
      <c r="D315" s="642"/>
      <c r="E315" s="642"/>
      <c r="F315" s="642">
        <v>1681.17</v>
      </c>
    </row>
    <row r="317" spans="1:6">
      <c r="A317" s="642"/>
      <c r="B317" s="642"/>
      <c r="C317" s="642" t="s">
        <v>1506</v>
      </c>
      <c r="D317" s="642"/>
      <c r="E317" s="642"/>
      <c r="F317" s="642"/>
    </row>
    <row r="318" spans="1:6">
      <c r="A318" s="642">
        <v>10</v>
      </c>
      <c r="B318" s="642" t="s">
        <v>438</v>
      </c>
      <c r="C318" s="642" t="s">
        <v>3050</v>
      </c>
      <c r="D318" s="642">
        <v>700</v>
      </c>
      <c r="E318" s="642" t="s">
        <v>438</v>
      </c>
      <c r="F318" s="642">
        <v>7000</v>
      </c>
    </row>
    <row r="319" spans="1:6">
      <c r="A319" s="642">
        <v>0.21</v>
      </c>
      <c r="B319" s="642" t="s">
        <v>93</v>
      </c>
      <c r="C319" s="642" t="s">
        <v>1488</v>
      </c>
      <c r="D319" s="642">
        <v>6032.44</v>
      </c>
      <c r="E319" s="642" t="s">
        <v>93</v>
      </c>
      <c r="F319" s="642">
        <v>1266.81</v>
      </c>
    </row>
    <row r="320" spans="1:6">
      <c r="A320" s="642">
        <v>1.1000000000000001</v>
      </c>
      <c r="B320" s="642" t="s">
        <v>196</v>
      </c>
      <c r="C320" s="642" t="s">
        <v>298</v>
      </c>
      <c r="D320" s="642">
        <v>1325.8</v>
      </c>
      <c r="E320" s="642" t="s">
        <v>196</v>
      </c>
      <c r="F320" s="642">
        <v>1458.38</v>
      </c>
    </row>
    <row r="321" spans="1:6">
      <c r="A321" s="642">
        <v>1.1000000000000001</v>
      </c>
      <c r="B321" s="642" t="s">
        <v>196</v>
      </c>
      <c r="C321" s="642" t="s">
        <v>269</v>
      </c>
      <c r="D321" s="642">
        <v>1237.5999999999999</v>
      </c>
      <c r="E321" s="642" t="s">
        <v>196</v>
      </c>
      <c r="F321" s="642">
        <v>1361.36</v>
      </c>
    </row>
    <row r="322" spans="1:6">
      <c r="A322" s="642">
        <v>2.2000000000000002</v>
      </c>
      <c r="B322" s="642" t="s">
        <v>196</v>
      </c>
      <c r="C322" s="642" t="s">
        <v>271</v>
      </c>
      <c r="D322" s="642">
        <v>865.2</v>
      </c>
      <c r="E322" s="642" t="s">
        <v>196</v>
      </c>
      <c r="F322" s="642">
        <v>1903.44</v>
      </c>
    </row>
    <row r="323" spans="1:6">
      <c r="A323" s="642">
        <v>2.2000000000000002</v>
      </c>
      <c r="B323" s="642" t="s">
        <v>196</v>
      </c>
      <c r="C323" s="642" t="s">
        <v>276</v>
      </c>
      <c r="D323" s="642">
        <v>709.8</v>
      </c>
      <c r="E323" s="642" t="s">
        <v>196</v>
      </c>
      <c r="F323" s="642">
        <v>1561.56</v>
      </c>
    </row>
    <row r="324" spans="1:6">
      <c r="A324" s="642">
        <v>20</v>
      </c>
      <c r="B324" s="642" t="s">
        <v>392</v>
      </c>
      <c r="C324" s="642" t="s">
        <v>85</v>
      </c>
      <c r="D324" s="642">
        <v>6040</v>
      </c>
      <c r="E324" s="642" t="s">
        <v>84</v>
      </c>
      <c r="F324" s="642">
        <v>120.8</v>
      </c>
    </row>
    <row r="325" spans="1:6">
      <c r="A325" s="642">
        <v>2</v>
      </c>
      <c r="B325" s="642" t="s">
        <v>392</v>
      </c>
      <c r="C325" s="642" t="s">
        <v>1510</v>
      </c>
      <c r="D325" s="642">
        <v>36.1</v>
      </c>
      <c r="E325" s="642" t="s">
        <v>392</v>
      </c>
      <c r="F325" s="642">
        <v>72.2</v>
      </c>
    </row>
    <row r="326" spans="1:6">
      <c r="A326" s="642">
        <v>1.6</v>
      </c>
      <c r="B326" s="642" t="s">
        <v>196</v>
      </c>
      <c r="C326" s="642" t="s">
        <v>269</v>
      </c>
      <c r="D326" s="642">
        <v>1237.5999999999999</v>
      </c>
      <c r="E326" s="642" t="s">
        <v>196</v>
      </c>
      <c r="F326" s="642">
        <v>1980.16</v>
      </c>
    </row>
    <row r="327" spans="1:6">
      <c r="A327" s="642">
        <v>0.5</v>
      </c>
      <c r="B327" s="642" t="s">
        <v>196</v>
      </c>
      <c r="C327" s="642" t="s">
        <v>271</v>
      </c>
      <c r="D327" s="642">
        <v>865.2</v>
      </c>
      <c r="E327" s="642" t="s">
        <v>196</v>
      </c>
      <c r="F327" s="642">
        <v>432.6</v>
      </c>
    </row>
    <row r="328" spans="1:6">
      <c r="A328" s="642">
        <v>1.1000000000000001</v>
      </c>
      <c r="B328" s="642" t="s">
        <v>196</v>
      </c>
      <c r="C328" s="642" t="s">
        <v>276</v>
      </c>
      <c r="D328" s="642">
        <v>709.8</v>
      </c>
      <c r="E328" s="642" t="s">
        <v>196</v>
      </c>
      <c r="F328" s="642">
        <v>780.78</v>
      </c>
    </row>
    <row r="329" spans="1:6">
      <c r="A329" s="642"/>
      <c r="B329" s="642" t="s">
        <v>106</v>
      </c>
      <c r="C329" s="642" t="s">
        <v>107</v>
      </c>
      <c r="D329" s="642"/>
      <c r="E329" s="642" t="s">
        <v>106</v>
      </c>
      <c r="F329" s="642">
        <v>0.18</v>
      </c>
    </row>
    <row r="330" spans="1:6">
      <c r="A330" s="642"/>
      <c r="B330" s="642"/>
      <c r="C330" s="642" t="s">
        <v>401</v>
      </c>
      <c r="D330" s="642"/>
      <c r="E330" s="642"/>
      <c r="F330" s="642">
        <v>17938.27</v>
      </c>
    </row>
    <row r="331" spans="1:6">
      <c r="A331" s="642"/>
      <c r="B331" s="642"/>
      <c r="C331" s="642" t="s">
        <v>403</v>
      </c>
      <c r="D331" s="642"/>
      <c r="E331" s="642"/>
      <c r="F331" s="642">
        <v>1793.83</v>
      </c>
    </row>
    <row r="333" spans="1:6">
      <c r="C333" s="689" t="s">
        <v>3063</v>
      </c>
    </row>
    <row r="334" spans="1:6">
      <c r="C334" s="750" t="s">
        <v>3064</v>
      </c>
      <c r="D334" s="750"/>
      <c r="E334" s="750"/>
      <c r="F334" s="750"/>
    </row>
    <row r="335" spans="1:6">
      <c r="A335" s="705">
        <v>1</v>
      </c>
      <c r="B335" s="689" t="s">
        <v>1130</v>
      </c>
      <c r="C335" s="689" t="s">
        <v>3065</v>
      </c>
      <c r="D335" s="705">
        <v>277.60000000000002</v>
      </c>
      <c r="E335" s="689" t="s">
        <v>1130</v>
      </c>
      <c r="F335" s="705">
        <v>277.60000000000002</v>
      </c>
    </row>
    <row r="336" spans="1:6">
      <c r="C336" s="689" t="s">
        <v>1236</v>
      </c>
      <c r="F336" s="705">
        <v>6</v>
      </c>
    </row>
    <row r="337" spans="1:6">
      <c r="C337" s="689" t="s">
        <v>490</v>
      </c>
      <c r="F337" s="705">
        <v>225.93</v>
      </c>
    </row>
    <row r="338" spans="1:6">
      <c r="C338" s="689" t="s">
        <v>3066</v>
      </c>
      <c r="F338" s="705">
        <v>509.53</v>
      </c>
    </row>
    <row r="339" spans="1:6">
      <c r="C339" s="689" t="s">
        <v>3067</v>
      </c>
    </row>
    <row r="340" spans="1:6">
      <c r="A340" s="705">
        <v>2</v>
      </c>
      <c r="B340" s="689" t="s">
        <v>1130</v>
      </c>
      <c r="C340" s="689" t="s">
        <v>3068</v>
      </c>
      <c r="D340" s="705">
        <v>778</v>
      </c>
      <c r="E340" s="689" t="s">
        <v>1130</v>
      </c>
      <c r="F340" s="705">
        <v>1556</v>
      </c>
    </row>
    <row r="341" spans="1:6">
      <c r="A341" s="705">
        <v>3</v>
      </c>
      <c r="B341" s="689" t="s">
        <v>1130</v>
      </c>
      <c r="C341" s="689" t="s">
        <v>3069</v>
      </c>
      <c r="D341" s="705">
        <v>611</v>
      </c>
      <c r="E341" s="689" t="s">
        <v>1130</v>
      </c>
      <c r="F341" s="705">
        <v>1833</v>
      </c>
    </row>
    <row r="342" spans="1:6">
      <c r="C342" s="689" t="s">
        <v>3070</v>
      </c>
      <c r="F342" s="705">
        <v>3389</v>
      </c>
    </row>
    <row r="343" spans="1:6">
      <c r="C343" s="689" t="s">
        <v>3071</v>
      </c>
      <c r="F343" s="705">
        <v>225.93</v>
      </c>
    </row>
    <row r="345" spans="1:6">
      <c r="C345" s="706" t="s">
        <v>3164</v>
      </c>
    </row>
    <row r="346" spans="1:6">
      <c r="C346" s="706" t="s">
        <v>3165</v>
      </c>
    </row>
    <row r="347" spans="1:6" ht="125.25" customHeight="1">
      <c r="C347" s="750" t="s">
        <v>3217</v>
      </c>
      <c r="D347" s="750"/>
      <c r="E347" s="750"/>
      <c r="F347" s="750"/>
    </row>
    <row r="348" spans="1:6" ht="31.5">
      <c r="A348" s="705">
        <v>90</v>
      </c>
      <c r="B348" s="689" t="s">
        <v>1125</v>
      </c>
      <c r="C348" s="707" t="s">
        <v>3166</v>
      </c>
      <c r="D348" s="705">
        <v>16.55</v>
      </c>
      <c r="E348" s="689" t="s">
        <v>3167</v>
      </c>
      <c r="F348" s="705">
        <v>1489.5</v>
      </c>
    </row>
    <row r="349" spans="1:6" ht="31.5">
      <c r="A349" s="705">
        <v>45</v>
      </c>
      <c r="B349" s="689" t="s">
        <v>1125</v>
      </c>
      <c r="C349" s="707" t="s">
        <v>3168</v>
      </c>
      <c r="D349" s="705">
        <v>20</v>
      </c>
      <c r="E349" s="689" t="s">
        <v>2737</v>
      </c>
      <c r="F349" s="705">
        <v>900</v>
      </c>
    </row>
    <row r="350" spans="1:6">
      <c r="A350" s="705">
        <v>20</v>
      </c>
      <c r="B350" s="689" t="s">
        <v>1130</v>
      </c>
      <c r="C350" s="689" t="s">
        <v>3169</v>
      </c>
      <c r="D350" s="705">
        <v>3.15</v>
      </c>
      <c r="E350" s="689" t="s">
        <v>1130</v>
      </c>
      <c r="F350" s="705">
        <v>63</v>
      </c>
    </row>
    <row r="351" spans="1:6">
      <c r="A351" s="705">
        <v>150</v>
      </c>
      <c r="B351" s="689" t="s">
        <v>1130</v>
      </c>
      <c r="C351" s="689" t="s">
        <v>3170</v>
      </c>
      <c r="D351" s="705">
        <v>287</v>
      </c>
      <c r="E351" s="689" t="s">
        <v>3171</v>
      </c>
      <c r="F351" s="705">
        <v>43.05</v>
      </c>
    </row>
    <row r="352" spans="1:6">
      <c r="A352" s="705">
        <v>10</v>
      </c>
      <c r="B352" s="689" t="s">
        <v>1130</v>
      </c>
      <c r="C352" s="689" t="s">
        <v>3172</v>
      </c>
      <c r="D352" s="705">
        <v>1.34</v>
      </c>
      <c r="E352" s="689" t="s">
        <v>1130</v>
      </c>
      <c r="F352" s="705">
        <v>13.4</v>
      </c>
    </row>
    <row r="353" spans="1:6">
      <c r="A353" s="705">
        <v>10</v>
      </c>
      <c r="B353" s="689" t="s">
        <v>1130</v>
      </c>
      <c r="C353" s="689" t="s">
        <v>3173</v>
      </c>
      <c r="D353" s="705">
        <v>43.25</v>
      </c>
      <c r="E353" s="689" t="s">
        <v>3174</v>
      </c>
      <c r="F353" s="705">
        <v>36.04</v>
      </c>
    </row>
    <row r="354" spans="1:6">
      <c r="A354" s="705">
        <v>1.4999999999999999E-2</v>
      </c>
      <c r="B354" s="689" t="s">
        <v>788</v>
      </c>
      <c r="C354" s="689" t="s">
        <v>3175</v>
      </c>
      <c r="D354" s="705">
        <v>661</v>
      </c>
      <c r="E354" s="689" t="s">
        <v>788</v>
      </c>
      <c r="F354" s="705">
        <v>9.92</v>
      </c>
    </row>
    <row r="355" spans="1:6">
      <c r="A355" s="705">
        <v>10</v>
      </c>
      <c r="B355" s="689" t="s">
        <v>1130</v>
      </c>
      <c r="C355" s="689" t="s">
        <v>3176</v>
      </c>
      <c r="D355" s="705">
        <v>16.21</v>
      </c>
      <c r="E355" s="689" t="s">
        <v>1130</v>
      </c>
      <c r="F355" s="705">
        <v>162.1</v>
      </c>
    </row>
    <row r="356" spans="1:6">
      <c r="A356" s="705">
        <v>10</v>
      </c>
      <c r="B356" s="689" t="s">
        <v>1130</v>
      </c>
      <c r="C356" s="689" t="s">
        <v>3177</v>
      </c>
      <c r="D356" s="705">
        <v>13.8</v>
      </c>
      <c r="E356" s="689" t="s">
        <v>1130</v>
      </c>
      <c r="F356" s="705">
        <v>138</v>
      </c>
    </row>
    <row r="357" spans="1:6">
      <c r="A357" s="705">
        <v>1</v>
      </c>
      <c r="B357" s="689" t="s">
        <v>3178</v>
      </c>
      <c r="C357" s="689" t="s">
        <v>3179</v>
      </c>
      <c r="D357" s="705">
        <v>69.400000000000006</v>
      </c>
      <c r="E357" s="689" t="s">
        <v>3178</v>
      </c>
      <c r="F357" s="705">
        <v>69.400000000000006</v>
      </c>
    </row>
    <row r="358" spans="1:6">
      <c r="A358" s="705">
        <v>72</v>
      </c>
      <c r="B358" s="689" t="s">
        <v>1130</v>
      </c>
      <c r="C358" s="689" t="s">
        <v>3180</v>
      </c>
      <c r="D358" s="705">
        <v>47.7</v>
      </c>
      <c r="E358" s="689" t="s">
        <v>3178</v>
      </c>
      <c r="F358" s="705">
        <v>23.85</v>
      </c>
    </row>
    <row r="359" spans="1:6">
      <c r="A359" s="705">
        <v>0.16666666666666666</v>
      </c>
      <c r="B359" s="689" t="s">
        <v>3181</v>
      </c>
      <c r="C359" s="689" t="s">
        <v>26</v>
      </c>
      <c r="D359" s="705">
        <v>302</v>
      </c>
      <c r="E359" s="689" t="s">
        <v>3181</v>
      </c>
      <c r="F359" s="705">
        <v>50.33</v>
      </c>
    </row>
    <row r="360" spans="1:6">
      <c r="A360" s="705">
        <v>10</v>
      </c>
      <c r="B360" s="689" t="s">
        <v>1130</v>
      </c>
      <c r="C360" s="689" t="s">
        <v>3182</v>
      </c>
      <c r="D360" s="705">
        <v>13.8</v>
      </c>
      <c r="E360" s="689" t="s">
        <v>1130</v>
      </c>
      <c r="F360" s="705">
        <v>138</v>
      </c>
    </row>
    <row r="361" spans="1:6">
      <c r="A361" s="705">
        <v>1</v>
      </c>
      <c r="B361" s="689" t="s">
        <v>1130</v>
      </c>
      <c r="C361" s="689" t="s">
        <v>3183</v>
      </c>
      <c r="D361" s="705">
        <v>16.5</v>
      </c>
      <c r="E361" s="689" t="s">
        <v>1130</v>
      </c>
      <c r="F361" s="705">
        <v>16.5</v>
      </c>
    </row>
    <row r="362" spans="1:6" ht="31.5">
      <c r="A362" s="705">
        <v>0.1</v>
      </c>
      <c r="B362" s="689" t="s">
        <v>788</v>
      </c>
      <c r="C362" s="707" t="s">
        <v>3184</v>
      </c>
      <c r="D362" s="705">
        <v>661</v>
      </c>
      <c r="E362" s="689" t="s">
        <v>788</v>
      </c>
      <c r="F362" s="705">
        <v>66.099999999999994</v>
      </c>
    </row>
    <row r="363" spans="1:6" ht="47.25">
      <c r="A363" s="705">
        <v>45</v>
      </c>
      <c r="B363" s="689" t="s">
        <v>1125</v>
      </c>
      <c r="C363" s="707" t="s">
        <v>3185</v>
      </c>
      <c r="D363" s="705">
        <v>16.55</v>
      </c>
      <c r="E363" s="689" t="s">
        <v>3186</v>
      </c>
      <c r="F363" s="705">
        <v>744.75</v>
      </c>
    </row>
    <row r="364" spans="1:6">
      <c r="A364" s="705">
        <v>0.5</v>
      </c>
      <c r="B364" s="689" t="s">
        <v>1052</v>
      </c>
      <c r="C364" s="689" t="s">
        <v>3187</v>
      </c>
      <c r="D364" s="705">
        <v>227.6</v>
      </c>
      <c r="E364" s="689" t="s">
        <v>1052</v>
      </c>
      <c r="F364" s="705">
        <v>113.8</v>
      </c>
    </row>
    <row r="365" spans="1:6">
      <c r="A365" s="705">
        <v>10</v>
      </c>
      <c r="B365" s="689" t="s">
        <v>3188</v>
      </c>
      <c r="C365" s="689" t="s">
        <v>490</v>
      </c>
      <c r="E365" s="689" t="s">
        <v>363</v>
      </c>
      <c r="F365" s="705">
        <v>4828</v>
      </c>
    </row>
    <row r="366" spans="1:6">
      <c r="A366" s="705" t="s">
        <v>363</v>
      </c>
      <c r="C366" s="689" t="s">
        <v>3189</v>
      </c>
      <c r="E366" s="689" t="s">
        <v>363</v>
      </c>
      <c r="F366" s="705">
        <v>26.75</v>
      </c>
    </row>
    <row r="367" spans="1:6">
      <c r="C367" s="689" t="s">
        <v>3190</v>
      </c>
      <c r="F367" s="705">
        <v>8932.49</v>
      </c>
    </row>
    <row r="368" spans="1:6">
      <c r="C368" s="689" t="s">
        <v>3191</v>
      </c>
      <c r="F368" s="705">
        <v>893.25</v>
      </c>
    </row>
    <row r="370" spans="1:6">
      <c r="B370" s="689" t="s">
        <v>3192</v>
      </c>
    </row>
    <row r="371" spans="1:6">
      <c r="B371" s="689" t="s">
        <v>3193</v>
      </c>
    </row>
    <row r="372" spans="1:6">
      <c r="A372" s="705">
        <v>1</v>
      </c>
      <c r="B372" s="689" t="s">
        <v>1130</v>
      </c>
      <c r="C372" s="689" t="s">
        <v>3194</v>
      </c>
      <c r="D372" s="705">
        <v>898</v>
      </c>
      <c r="E372" s="689" t="s">
        <v>1130</v>
      </c>
      <c r="F372" s="705">
        <v>898</v>
      </c>
    </row>
    <row r="373" spans="1:6">
      <c r="A373" s="705">
        <v>2</v>
      </c>
      <c r="B373" s="689" t="s">
        <v>1130</v>
      </c>
      <c r="C373" s="689" t="s">
        <v>3195</v>
      </c>
      <c r="D373" s="705">
        <v>783</v>
      </c>
      <c r="E373" s="689" t="s">
        <v>1130</v>
      </c>
      <c r="F373" s="705">
        <v>1566</v>
      </c>
    </row>
    <row r="374" spans="1:6">
      <c r="A374" s="705">
        <v>3</v>
      </c>
      <c r="B374" s="689" t="s">
        <v>1130</v>
      </c>
      <c r="C374" s="689" t="s">
        <v>3196</v>
      </c>
      <c r="D374" s="705">
        <v>778</v>
      </c>
      <c r="E374" s="689" t="s">
        <v>1130</v>
      </c>
      <c r="F374" s="705">
        <v>2334</v>
      </c>
    </row>
    <row r="375" spans="1:6">
      <c r="A375" s="705">
        <v>4</v>
      </c>
      <c r="B375" s="689" t="s">
        <v>1130</v>
      </c>
      <c r="C375" s="689" t="s">
        <v>3197</v>
      </c>
      <c r="D375" s="705">
        <v>611</v>
      </c>
      <c r="E375" s="689" t="s">
        <v>1130</v>
      </c>
      <c r="F375" s="705">
        <v>2444</v>
      </c>
    </row>
    <row r="376" spans="1:6">
      <c r="F376" s="705">
        <v>7242</v>
      </c>
    </row>
    <row r="378" spans="1:6">
      <c r="C378" s="706" t="s">
        <v>3198</v>
      </c>
    </row>
    <row r="379" spans="1:6" ht="128.25" customHeight="1">
      <c r="C379" s="750" t="s">
        <v>3218</v>
      </c>
      <c r="D379" s="750"/>
      <c r="E379" s="750"/>
      <c r="F379" s="750"/>
    </row>
    <row r="380" spans="1:6">
      <c r="C380" s="689" t="s">
        <v>3199</v>
      </c>
      <c r="F380" s="705">
        <v>8905.74</v>
      </c>
    </row>
    <row r="381" spans="1:6">
      <c r="C381" s="689" t="s">
        <v>3200</v>
      </c>
      <c r="F381" s="705">
        <v>138</v>
      </c>
    </row>
    <row r="382" spans="1:6" ht="31.5">
      <c r="C382" s="707" t="s">
        <v>3201</v>
      </c>
      <c r="F382" s="705">
        <v>166.5</v>
      </c>
    </row>
    <row r="383" spans="1:6">
      <c r="C383" s="689" t="s">
        <v>1236</v>
      </c>
      <c r="F383" s="705">
        <v>29.25</v>
      </c>
    </row>
    <row r="384" spans="1:6">
      <c r="C384" s="689" t="s">
        <v>3202</v>
      </c>
      <c r="F384" s="705">
        <v>8963.49</v>
      </c>
    </row>
    <row r="385" spans="1:6">
      <c r="C385" s="689" t="s">
        <v>3203</v>
      </c>
      <c r="F385" s="705">
        <v>896.35</v>
      </c>
    </row>
    <row r="387" spans="1:6" ht="130.5" customHeight="1">
      <c r="C387" s="750" t="s">
        <v>3219</v>
      </c>
      <c r="D387" s="750"/>
      <c r="E387" s="750"/>
      <c r="F387" s="750"/>
    </row>
    <row r="388" spans="1:6">
      <c r="C388" s="689" t="s">
        <v>3199</v>
      </c>
      <c r="F388" s="705">
        <v>8905.74</v>
      </c>
    </row>
    <row r="389" spans="1:6">
      <c r="C389" s="689" t="s">
        <v>3204</v>
      </c>
      <c r="F389" s="705">
        <v>138</v>
      </c>
    </row>
    <row r="390" spans="1:6">
      <c r="C390" s="689" t="s">
        <v>3205</v>
      </c>
      <c r="F390" s="705">
        <v>66.099999999999994</v>
      </c>
    </row>
    <row r="391" spans="1:6" ht="47.25">
      <c r="C391" s="707" t="s">
        <v>3206</v>
      </c>
      <c r="F391" s="705">
        <v>699</v>
      </c>
    </row>
    <row r="392" spans="1:6">
      <c r="C392" s="689" t="s">
        <v>3207</v>
      </c>
      <c r="F392" s="705">
        <v>378</v>
      </c>
    </row>
    <row r="393" spans="1:6">
      <c r="C393" s="689" t="s">
        <v>3208</v>
      </c>
      <c r="F393" s="705">
        <v>24.25</v>
      </c>
    </row>
    <row r="394" spans="1:6">
      <c r="C394" s="689" t="s">
        <v>3202</v>
      </c>
      <c r="F394" s="705">
        <v>9802.89</v>
      </c>
    </row>
    <row r="395" spans="1:6">
      <c r="C395" s="689" t="s">
        <v>3203</v>
      </c>
      <c r="F395" s="705">
        <v>980.29</v>
      </c>
    </row>
    <row r="397" spans="1:6" ht="47.25">
      <c r="A397" s="705" t="s">
        <v>420</v>
      </c>
      <c r="C397" s="707" t="s">
        <v>3209</v>
      </c>
      <c r="E397" s="689" t="s">
        <v>793</v>
      </c>
      <c r="F397" s="705">
        <v>1552.7</v>
      </c>
    </row>
    <row r="399" spans="1:6" s="642" customFormat="1">
      <c r="B399" s="642" t="s">
        <v>67</v>
      </c>
      <c r="C399" s="642" t="s">
        <v>3042</v>
      </c>
    </row>
    <row r="400" spans="1:6" s="642" customFormat="1">
      <c r="C400" s="642" t="s">
        <v>1536</v>
      </c>
    </row>
    <row r="401" spans="1:6" s="642" customFormat="1">
      <c r="C401" s="642" t="s">
        <v>2617</v>
      </c>
    </row>
    <row r="402" spans="1:6" s="642" customFormat="1">
      <c r="A402" s="642">
        <v>1.34</v>
      </c>
      <c r="B402" s="642" t="s">
        <v>392</v>
      </c>
      <c r="C402" s="642" t="s">
        <v>3043</v>
      </c>
      <c r="D402" s="642">
        <v>73.8</v>
      </c>
      <c r="E402" s="642" t="s">
        <v>392</v>
      </c>
      <c r="F402" s="642">
        <v>98.89</v>
      </c>
    </row>
    <row r="403" spans="1:6" s="642" customFormat="1">
      <c r="A403" s="642">
        <v>0.5</v>
      </c>
      <c r="B403" s="642" t="s">
        <v>196</v>
      </c>
      <c r="C403" s="642" t="s">
        <v>1545</v>
      </c>
      <c r="D403" s="642">
        <v>1058.4000000000001</v>
      </c>
      <c r="E403" s="642" t="s">
        <v>196</v>
      </c>
      <c r="F403" s="642">
        <v>529.20000000000005</v>
      </c>
    </row>
    <row r="404" spans="1:6" s="642" customFormat="1">
      <c r="A404" s="642">
        <v>0.5</v>
      </c>
      <c r="B404" s="642" t="s">
        <v>196</v>
      </c>
      <c r="C404" s="642" t="s">
        <v>271</v>
      </c>
      <c r="D404" s="642">
        <v>865.2</v>
      </c>
      <c r="E404" s="642" t="s">
        <v>196</v>
      </c>
      <c r="F404" s="642">
        <v>432.6</v>
      </c>
    </row>
    <row r="405" spans="1:6" s="642" customFormat="1">
      <c r="A405" s="642">
        <v>0.8</v>
      </c>
      <c r="B405" s="642" t="s">
        <v>196</v>
      </c>
      <c r="C405" s="642" t="s">
        <v>276</v>
      </c>
      <c r="D405" s="642">
        <v>709.8</v>
      </c>
      <c r="E405" s="642" t="s">
        <v>196</v>
      </c>
      <c r="F405" s="642">
        <v>567.84</v>
      </c>
    </row>
    <row r="406" spans="1:6" s="642" customFormat="1">
      <c r="A406" s="642">
        <v>10</v>
      </c>
      <c r="B406" s="642" t="s">
        <v>788</v>
      </c>
      <c r="C406" s="642" t="s">
        <v>2538</v>
      </c>
      <c r="D406" s="642">
        <v>5.6</v>
      </c>
      <c r="E406" s="642" t="s">
        <v>788</v>
      </c>
      <c r="F406" s="642">
        <v>56</v>
      </c>
    </row>
    <row r="407" spans="1:6" s="642" customFormat="1">
      <c r="B407" s="642" t="s">
        <v>106</v>
      </c>
      <c r="C407" s="642" t="s">
        <v>1452</v>
      </c>
      <c r="D407" s="642" t="s">
        <v>27</v>
      </c>
      <c r="E407" s="642" t="s">
        <v>106</v>
      </c>
      <c r="F407" s="642">
        <v>2.6</v>
      </c>
    </row>
    <row r="408" spans="1:6" s="642" customFormat="1">
      <c r="C408" s="642" t="s">
        <v>401</v>
      </c>
      <c r="F408" s="642">
        <f>SUM(F402:F407)</f>
        <v>1687.13</v>
      </c>
    </row>
    <row r="409" spans="1:6" s="642" customFormat="1">
      <c r="C409" s="642" t="s">
        <v>403</v>
      </c>
      <c r="F409" s="642">
        <f>F408/10</f>
        <v>168.71300000000002</v>
      </c>
    </row>
    <row r="410" spans="1:6" s="642" customFormat="1"/>
    <row r="411" spans="1:6" s="642" customFormat="1">
      <c r="A411" s="642" t="s">
        <v>1553</v>
      </c>
      <c r="B411" s="642" t="s">
        <v>67</v>
      </c>
      <c r="C411" s="642" t="s">
        <v>3044</v>
      </c>
    </row>
    <row r="412" spans="1:6" s="642" customFormat="1">
      <c r="C412" s="642" t="s">
        <v>1536</v>
      </c>
    </row>
    <row r="413" spans="1:6" s="642" customFormat="1">
      <c r="C413" s="642" t="s">
        <v>1558</v>
      </c>
    </row>
    <row r="414" spans="1:6" s="642" customFormat="1" ht="31.5">
      <c r="A414" s="642">
        <v>1.4</v>
      </c>
      <c r="B414" s="642" t="s">
        <v>1543</v>
      </c>
      <c r="C414" s="643" t="s">
        <v>3045</v>
      </c>
      <c r="D414" s="642">
        <v>295.60000000000002</v>
      </c>
      <c r="E414" s="642" t="s">
        <v>1543</v>
      </c>
      <c r="F414" s="642">
        <v>413.84</v>
      </c>
    </row>
    <row r="415" spans="1:6" s="642" customFormat="1">
      <c r="A415" s="642">
        <v>0.98</v>
      </c>
      <c r="B415" s="642" t="s">
        <v>1543</v>
      </c>
      <c r="C415" s="642" t="s">
        <v>3046</v>
      </c>
      <c r="D415" s="642">
        <v>147.5</v>
      </c>
      <c r="E415" s="642" t="s">
        <v>1543</v>
      </c>
      <c r="F415" s="642">
        <v>144.55000000000001</v>
      </c>
    </row>
    <row r="416" spans="1:6" s="642" customFormat="1">
      <c r="A416" s="642">
        <v>2.2000000000000002</v>
      </c>
      <c r="B416" s="642" t="s">
        <v>196</v>
      </c>
      <c r="C416" s="642" t="s">
        <v>1545</v>
      </c>
      <c r="D416" s="642">
        <v>1058.4000000000001</v>
      </c>
      <c r="E416" s="642" t="s">
        <v>196</v>
      </c>
      <c r="F416" s="642">
        <v>2328.48</v>
      </c>
    </row>
    <row r="417" spans="1:6" s="642" customFormat="1">
      <c r="A417" s="642">
        <v>10</v>
      </c>
      <c r="B417" s="642" t="s">
        <v>788</v>
      </c>
      <c r="C417" s="642" t="s">
        <v>2538</v>
      </c>
      <c r="D417" s="642">
        <v>5.6</v>
      </c>
      <c r="E417" s="642" t="s">
        <v>788</v>
      </c>
      <c r="F417" s="642">
        <v>56</v>
      </c>
    </row>
    <row r="418" spans="1:6" s="642" customFormat="1">
      <c r="B418" s="642" t="s">
        <v>106</v>
      </c>
      <c r="C418" s="642" t="s">
        <v>1452</v>
      </c>
      <c r="D418" s="642" t="s">
        <v>27</v>
      </c>
      <c r="E418" s="642" t="s">
        <v>106</v>
      </c>
      <c r="F418" s="642">
        <v>2.5499999999999998</v>
      </c>
    </row>
    <row r="419" spans="1:6" s="642" customFormat="1">
      <c r="C419" s="642" t="s">
        <v>401</v>
      </c>
      <c r="F419" s="642">
        <f>SUM(F414:F418)</f>
        <v>2945.42</v>
      </c>
    </row>
    <row r="420" spans="1:6" s="642" customFormat="1">
      <c r="C420" s="642" t="s">
        <v>403</v>
      </c>
      <c r="F420" s="642">
        <f>F419/10</f>
        <v>294.54200000000003</v>
      </c>
    </row>
    <row r="422" spans="1:6">
      <c r="A422" s="642"/>
      <c r="B422" s="642"/>
      <c r="C422" s="642" t="s">
        <v>2569</v>
      </c>
      <c r="D422" s="642"/>
      <c r="E422" s="642"/>
      <c r="F422" s="642"/>
    </row>
    <row r="423" spans="1:6">
      <c r="A423" s="642"/>
      <c r="B423" s="642"/>
      <c r="C423" s="642" t="s">
        <v>1700</v>
      </c>
      <c r="D423" s="642"/>
      <c r="E423" s="642"/>
      <c r="F423" s="642"/>
    </row>
    <row r="424" spans="1:6">
      <c r="A424" s="642"/>
      <c r="B424" s="642"/>
      <c r="C424" s="642" t="s">
        <v>1701</v>
      </c>
      <c r="D424" s="642"/>
      <c r="E424" s="642"/>
      <c r="F424" s="642"/>
    </row>
    <row r="425" spans="1:6">
      <c r="A425" s="642">
        <v>1.89</v>
      </c>
      <c r="B425" s="642" t="s">
        <v>2556</v>
      </c>
      <c r="C425" s="642" t="s">
        <v>1689</v>
      </c>
      <c r="D425" s="642">
        <v>227.6</v>
      </c>
      <c r="E425" s="642" t="s">
        <v>2556</v>
      </c>
      <c r="F425" s="642">
        <v>430.16</v>
      </c>
    </row>
    <row r="426" spans="1:6">
      <c r="A426" s="642">
        <v>1.1000000000000001</v>
      </c>
      <c r="B426" s="642" t="s">
        <v>1820</v>
      </c>
      <c r="C426" s="642" t="s">
        <v>1545</v>
      </c>
      <c r="D426" s="642">
        <v>1058.4000000000001</v>
      </c>
      <c r="E426" s="642" t="s">
        <v>1820</v>
      </c>
      <c r="F426" s="642">
        <v>1164.24</v>
      </c>
    </row>
    <row r="427" spans="1:6">
      <c r="A427" s="642">
        <v>10</v>
      </c>
      <c r="B427" s="642" t="s">
        <v>788</v>
      </c>
      <c r="C427" s="642" t="s">
        <v>2549</v>
      </c>
      <c r="D427" s="642">
        <v>12.11</v>
      </c>
      <c r="E427" s="642" t="s">
        <v>788</v>
      </c>
      <c r="F427" s="642">
        <v>121.1</v>
      </c>
    </row>
    <row r="428" spans="1:6">
      <c r="A428" s="642"/>
      <c r="B428" s="642"/>
      <c r="C428" s="642" t="s">
        <v>2540</v>
      </c>
      <c r="D428" s="642" t="s">
        <v>363</v>
      </c>
      <c r="E428" s="642"/>
      <c r="F428" s="642">
        <v>1.9</v>
      </c>
    </row>
    <row r="429" spans="1:6">
      <c r="A429" s="642"/>
      <c r="B429" s="642"/>
      <c r="C429" s="642" t="s">
        <v>401</v>
      </c>
      <c r="D429" s="642"/>
      <c r="E429" s="642"/>
      <c r="F429" s="642">
        <v>1717.4</v>
      </c>
    </row>
    <row r="430" spans="1:6">
      <c r="A430" s="642"/>
      <c r="B430" s="642"/>
      <c r="C430" s="642" t="s">
        <v>403</v>
      </c>
      <c r="D430" s="642"/>
      <c r="E430" s="642"/>
      <c r="F430" s="642">
        <v>171.74</v>
      </c>
    </row>
    <row r="432" spans="1:6">
      <c r="A432" s="705">
        <v>41</v>
      </c>
      <c r="B432" s="689" t="s">
        <v>67</v>
      </c>
      <c r="C432" s="689" t="s">
        <v>1698</v>
      </c>
    </row>
    <row r="433" spans="1:6">
      <c r="C433" s="689" t="s">
        <v>1700</v>
      </c>
    </row>
    <row r="434" spans="1:6">
      <c r="C434" s="689" t="s">
        <v>1701</v>
      </c>
    </row>
    <row r="435" spans="1:6">
      <c r="A435" s="705">
        <v>2.2200000000000002</v>
      </c>
      <c r="B435" s="689" t="s">
        <v>1543</v>
      </c>
      <c r="C435" s="689" t="s">
        <v>1689</v>
      </c>
      <c r="D435" s="705">
        <v>227.6</v>
      </c>
      <c r="E435" s="689" t="s">
        <v>1543</v>
      </c>
      <c r="F435" s="705">
        <v>505.27</v>
      </c>
    </row>
    <row r="436" spans="1:6">
      <c r="A436" s="705">
        <v>1.1000000000000001</v>
      </c>
      <c r="B436" s="689" t="s">
        <v>196</v>
      </c>
      <c r="C436" s="689" t="s">
        <v>1545</v>
      </c>
      <c r="D436" s="705">
        <v>1058.4000000000001</v>
      </c>
      <c r="E436" s="689" t="s">
        <v>196</v>
      </c>
      <c r="F436" s="705">
        <v>1164.24</v>
      </c>
    </row>
    <row r="437" spans="1:6">
      <c r="B437" s="689" t="s">
        <v>106</v>
      </c>
      <c r="C437" s="689" t="s">
        <v>1452</v>
      </c>
      <c r="D437" s="705" t="s">
        <v>27</v>
      </c>
      <c r="E437" s="689" t="s">
        <v>106</v>
      </c>
      <c r="F437" s="705">
        <v>1.5</v>
      </c>
    </row>
    <row r="438" spans="1:6">
      <c r="C438" s="689" t="s">
        <v>401</v>
      </c>
      <c r="F438" s="705">
        <v>1671.01</v>
      </c>
    </row>
    <row r="439" spans="1:6">
      <c r="C439" s="689" t="s">
        <v>403</v>
      </c>
      <c r="F439" s="705">
        <v>167.1</v>
      </c>
    </row>
    <row r="441" spans="1:6">
      <c r="A441" s="642"/>
      <c r="B441" s="642"/>
      <c r="C441" s="642" t="s">
        <v>2569</v>
      </c>
      <c r="D441" s="642"/>
      <c r="E441" s="642"/>
      <c r="F441" s="642"/>
    </row>
    <row r="442" spans="1:6">
      <c r="A442" s="642"/>
      <c r="B442" s="642"/>
      <c r="C442" s="642" t="s">
        <v>1684</v>
      </c>
      <c r="D442" s="642"/>
      <c r="E442" s="642"/>
      <c r="F442" s="642"/>
    </row>
    <row r="443" spans="1:6">
      <c r="A443" s="642"/>
      <c r="B443" s="642"/>
      <c r="C443" s="642" t="s">
        <v>1701</v>
      </c>
      <c r="D443" s="642"/>
      <c r="E443" s="642"/>
      <c r="F443" s="642"/>
    </row>
    <row r="444" spans="1:6">
      <c r="A444" s="642">
        <v>2.2200000000000002</v>
      </c>
      <c r="B444" s="642" t="s">
        <v>2556</v>
      </c>
      <c r="C444" s="642" t="s">
        <v>1689</v>
      </c>
      <c r="D444" s="642">
        <v>238.9</v>
      </c>
      <c r="E444" s="642" t="s">
        <v>2556</v>
      </c>
      <c r="F444" s="642">
        <v>530.36</v>
      </c>
    </row>
    <row r="445" spans="1:6">
      <c r="A445" s="642">
        <v>1.2</v>
      </c>
      <c r="B445" s="642" t="s">
        <v>1820</v>
      </c>
      <c r="C445" s="642" t="s">
        <v>1545</v>
      </c>
      <c r="D445" s="642">
        <v>1058.4000000000001</v>
      </c>
      <c r="E445" s="642" t="s">
        <v>1820</v>
      </c>
      <c r="F445" s="642">
        <v>1270.08</v>
      </c>
    </row>
    <row r="446" spans="1:6">
      <c r="A446" s="642">
        <v>10</v>
      </c>
      <c r="B446" s="642" t="s">
        <v>788</v>
      </c>
      <c r="C446" s="642" t="s">
        <v>2549</v>
      </c>
      <c r="D446" s="642">
        <v>13.09</v>
      </c>
      <c r="E446" s="642" t="s">
        <v>788</v>
      </c>
      <c r="F446" s="642">
        <v>130.9</v>
      </c>
    </row>
    <row r="447" spans="1:6">
      <c r="A447" s="642"/>
      <c r="B447" s="642"/>
      <c r="C447" s="642" t="s">
        <v>2540</v>
      </c>
      <c r="D447" s="642" t="s">
        <v>363</v>
      </c>
      <c r="E447" s="642"/>
      <c r="F447" s="642">
        <v>6.65</v>
      </c>
    </row>
    <row r="448" spans="1:6">
      <c r="A448" s="642"/>
      <c r="B448" s="642"/>
      <c r="C448" s="642" t="s">
        <v>401</v>
      </c>
      <c r="D448" s="642"/>
      <c r="E448" s="642"/>
      <c r="F448" s="642">
        <v>1937.99</v>
      </c>
    </row>
    <row r="449" spans="1:6">
      <c r="A449" s="642"/>
      <c r="B449" s="642"/>
      <c r="C449" s="642" t="s">
        <v>403</v>
      </c>
      <c r="D449" s="642"/>
      <c r="E449" s="642"/>
      <c r="F449" s="642">
        <v>193.8</v>
      </c>
    </row>
    <row r="450" spans="1:6">
      <c r="A450" s="705" t="s">
        <v>1631</v>
      </c>
      <c r="B450" s="689" t="s">
        <v>67</v>
      </c>
      <c r="C450" s="689" t="s">
        <v>1632</v>
      </c>
    </row>
    <row r="451" spans="1:6">
      <c r="A451" s="705">
        <v>0.1</v>
      </c>
      <c r="B451" s="689" t="s">
        <v>93</v>
      </c>
      <c r="C451" s="689" t="s">
        <v>176</v>
      </c>
      <c r="D451" s="705">
        <v>6032.44</v>
      </c>
      <c r="E451" s="689" t="s">
        <v>93</v>
      </c>
      <c r="F451" s="705">
        <v>603.24</v>
      </c>
    </row>
    <row r="452" spans="1:6">
      <c r="A452" s="705">
        <v>1.1000000000000001</v>
      </c>
      <c r="B452" s="689" t="s">
        <v>105</v>
      </c>
      <c r="C452" s="689" t="s">
        <v>298</v>
      </c>
      <c r="D452" s="705">
        <v>1325.8</v>
      </c>
      <c r="E452" s="689" t="s">
        <v>105</v>
      </c>
      <c r="F452" s="705">
        <v>1458.38</v>
      </c>
    </row>
    <row r="453" spans="1:6">
      <c r="A453" s="705">
        <v>1.1000000000000001</v>
      </c>
      <c r="B453" s="689" t="s">
        <v>105</v>
      </c>
      <c r="C453" s="689" t="s">
        <v>271</v>
      </c>
      <c r="D453" s="705">
        <v>865.2</v>
      </c>
      <c r="E453" s="689" t="s">
        <v>105</v>
      </c>
      <c r="F453" s="705">
        <v>951.72</v>
      </c>
    </row>
    <row r="454" spans="1:6">
      <c r="A454" s="705">
        <v>1.1000000000000001</v>
      </c>
      <c r="B454" s="689" t="s">
        <v>105</v>
      </c>
      <c r="C454" s="689" t="s">
        <v>276</v>
      </c>
      <c r="D454" s="705">
        <v>709.8</v>
      </c>
      <c r="E454" s="689" t="s">
        <v>105</v>
      </c>
      <c r="F454" s="705">
        <v>780.78</v>
      </c>
    </row>
    <row r="455" spans="1:6">
      <c r="B455" s="689" t="s">
        <v>106</v>
      </c>
      <c r="C455" s="689" t="s">
        <v>107</v>
      </c>
      <c r="D455" s="705" t="s">
        <v>27</v>
      </c>
      <c r="E455" s="689" t="s">
        <v>106</v>
      </c>
      <c r="F455" s="705">
        <v>5</v>
      </c>
    </row>
    <row r="456" spans="1:6">
      <c r="C456" s="689" t="s">
        <v>401</v>
      </c>
      <c r="F456" s="705">
        <v>3799.12</v>
      </c>
    </row>
    <row r="457" spans="1:6">
      <c r="C457" s="689" t="s">
        <v>403</v>
      </c>
      <c r="F457" s="705">
        <v>379.91</v>
      </c>
    </row>
  </sheetData>
  <mergeCells count="6">
    <mergeCell ref="C387:F387"/>
    <mergeCell ref="A1:F1"/>
    <mergeCell ref="A2:F2"/>
    <mergeCell ref="C334:F334"/>
    <mergeCell ref="C347:F347"/>
    <mergeCell ref="C379:F379"/>
  </mergeCells>
  <pageMargins left="0.7" right="0.7" top="0.63" bottom="0.61" header="0.3" footer="0.3"/>
  <pageSetup paperSize="9" scale="94"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lead  charge</vt:lpstr>
      <vt:lpstr>Data</vt:lpstr>
      <vt:lpstr>Details</vt:lpstr>
      <vt:lpstr>Abs</vt:lpstr>
      <vt:lpstr>Sheet2</vt:lpstr>
      <vt:lpstr>Abs!Print_Area</vt:lpstr>
      <vt:lpstr>Data!Print_Area</vt:lpstr>
      <vt:lpstr>Details!Print_Area</vt:lpstr>
      <vt:lpstr>'lead  charge'!Print_Area</vt:lpstr>
      <vt:lpstr>Sheet2!Print_Area</vt:lpstr>
      <vt:lpstr>Data!Print_Area_MI</vt:lpstr>
      <vt:lpstr>Abs!Print_Titles</vt:lpstr>
      <vt:lpstr>Data!PRINT_TITLES_MI</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TJ</dc:creator>
  <cp:lastModifiedBy>User</cp:lastModifiedBy>
  <cp:lastPrinted>2022-09-21T10:51:25Z</cp:lastPrinted>
  <dcterms:created xsi:type="dcterms:W3CDTF">2021-06-10T01:33:50Z</dcterms:created>
  <dcterms:modified xsi:type="dcterms:W3CDTF">2022-09-21T11:26:51Z</dcterms:modified>
</cp:coreProperties>
</file>